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floridahousing-my.sharepoint.com/personal/tracy_willis_floridahousing_org/Documents/TWillis/ANNUAL TDC Updates/New TDC Template Project 2023/FINAL Template Versions/"/>
    </mc:Choice>
  </mc:AlternateContent>
  <xr:revisionPtr revIDLastSave="320" documentId="8_{87D113B4-D577-429E-853A-07CE1C75C93F}" xr6:coauthVersionLast="47" xr6:coauthVersionMax="47" xr10:uidLastSave="{380F498C-AC7C-44C1-B74F-8AF5BCB056AE}"/>
  <bookViews>
    <workbookView xWindow="-120" yWindow="-120" windowWidth="29040" windowHeight="15720" xr2:uid="{A3B7E6AC-9741-4778-8E4A-263167A7CC41}"/>
  </bookViews>
  <sheets>
    <sheet name="RFA" sheetId="2" r:id="rId1"/>
    <sheet name="Data" sheetId="5" state="hidden" r:id="rId2"/>
    <sheet name="CUR" sheetId="8" r:id="rId3"/>
    <sheet name="Sheet1" sheetId="10" state="hidden" r:id="rId4"/>
    <sheet name="Both CUR &amp; FCCA" sheetId="11" r:id="rId5"/>
  </sheets>
  <definedNames>
    <definedName name="AddOns" localSheetId="0">Data!$P$3:$DZ$5</definedName>
    <definedName name="AddOns2" localSheetId="0">Data!$P$7:$DZ$9</definedName>
    <definedName name="AppDue" localSheetId="0">Data!$C$44:$M$61</definedName>
    <definedName name="Base01" localSheetId="0">Data!$P$38:$DZ$45</definedName>
    <definedName name="Counties" localSheetId="0">Data!$A$13:$A$80</definedName>
    <definedName name="Descriptions" localSheetId="0">Data!$C$64:$M$81</definedName>
    <definedName name="EscalationFactor">Data!$P$47:$DZ$54</definedName>
    <definedName name="Identify">RFA!$C$15:$G$32</definedName>
    <definedName name="Max_Acq_DF_Bond_w_AR_Units">CUR!$D$124</definedName>
    <definedName name="Max_DF_Bond_w_AR_Units">CUR!$D$127</definedName>
    <definedName name="MultiplierNames" localSheetId="0">Data!$P$11:$DZ$18</definedName>
    <definedName name="MultiplierNumbers" localSheetId="0">Data!$P$20:$DZ$27</definedName>
    <definedName name="_xlnm.Print_Area" localSheetId="4">'Both CUR &amp; FCCA'!$B$1:$G$63</definedName>
    <definedName name="_xlnm.Print_Area" localSheetId="2">CUR!$B$1:$F$82</definedName>
    <definedName name="RFAs" localSheetId="0">Data!$C$3:$M$20</definedName>
    <definedName name="SoftCostMultiplier">Data!$P$56:$DZ$63</definedName>
    <definedName name="TDC_Table">RFA!$A$51:$H$57</definedName>
    <definedName name="Types" localSheetId="0">Data!$P$29:$DZ$36</definedName>
    <definedName name="Year" localSheetId="0">RFA!$D$9</definedName>
    <definedName name="Years" localSheetId="0">Data!$A$3:$A$8</definedName>
    <definedName name="YesNo" localSheetId="0">Data!$A$82:$A$84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Z56" i="5" l="1"/>
  <c r="DY56" i="5"/>
  <c r="DX56" i="5"/>
  <c r="DW56" i="5"/>
  <c r="DZ47" i="5"/>
  <c r="DY47" i="5"/>
  <c r="DX47" i="5"/>
  <c r="DW47" i="5"/>
  <c r="DZ38" i="5"/>
  <c r="DY38" i="5"/>
  <c r="DX38" i="5"/>
  <c r="DW38" i="5"/>
  <c r="DZ29" i="5"/>
  <c r="DY29" i="5"/>
  <c r="DX29" i="5"/>
  <c r="DW29" i="5"/>
  <c r="DZ20" i="5"/>
  <c r="DY20" i="5"/>
  <c r="DX20" i="5"/>
  <c r="DW20" i="5"/>
  <c r="DZ11" i="5"/>
  <c r="DY11" i="5"/>
  <c r="DX11" i="5"/>
  <c r="DW11" i="5"/>
  <c r="DZ7" i="5"/>
  <c r="DY7" i="5"/>
  <c r="DX7" i="5"/>
  <c r="DW7" i="5"/>
  <c r="DV56" i="5"/>
  <c r="DU56" i="5"/>
  <c r="DV47" i="5"/>
  <c r="DU47" i="5"/>
  <c r="DV38" i="5"/>
  <c r="DU38" i="5"/>
  <c r="DV29" i="5"/>
  <c r="DU29" i="5"/>
  <c r="DV20" i="5"/>
  <c r="DU20" i="5"/>
  <c r="DV11" i="5"/>
  <c r="DU11" i="5"/>
  <c r="DV7" i="5"/>
  <c r="DU7" i="5"/>
  <c r="DF56" i="5"/>
  <c r="DE56" i="5"/>
  <c r="DF47" i="5"/>
  <c r="DE47" i="5"/>
  <c r="DF38" i="5"/>
  <c r="DE38" i="5"/>
  <c r="DF29" i="5"/>
  <c r="DE29" i="5"/>
  <c r="DF20" i="5"/>
  <c r="DE20" i="5"/>
  <c r="DF11" i="5"/>
  <c r="DE11" i="5"/>
  <c r="DF7" i="5"/>
  <c r="DE7" i="5"/>
  <c r="J111" i="8"/>
  <c r="H16" i="2" l="1"/>
  <c r="H17" i="2"/>
  <c r="H18" i="2"/>
  <c r="H19" i="2"/>
  <c r="H20" i="2"/>
  <c r="H21" i="2"/>
  <c r="H22" i="2"/>
  <c r="H23" i="2"/>
  <c r="H24" i="2"/>
  <c r="H25" i="2"/>
  <c r="H26" i="2"/>
  <c r="H27" i="2"/>
  <c r="H28" i="2"/>
  <c r="H29" i="2"/>
  <c r="H30" i="2"/>
  <c r="H31" i="2"/>
  <c r="H32" i="2"/>
  <c r="F16" i="2"/>
  <c r="F17" i="2"/>
  <c r="F18" i="2"/>
  <c r="F19" i="2"/>
  <c r="F20" i="2"/>
  <c r="F21" i="2"/>
  <c r="F22" i="2"/>
  <c r="F23" i="2"/>
  <c r="F24" i="2"/>
  <c r="F25" i="2"/>
  <c r="F26" i="2"/>
  <c r="F27" i="2"/>
  <c r="F28" i="2"/>
  <c r="F29" i="2"/>
  <c r="F30" i="2"/>
  <c r="F31" i="2"/>
  <c r="F32" i="2"/>
  <c r="E16" i="2"/>
  <c r="E17" i="2"/>
  <c r="E18" i="2"/>
  <c r="E19" i="2"/>
  <c r="E20" i="2"/>
  <c r="E21" i="2"/>
  <c r="E22" i="2"/>
  <c r="E23" i="2"/>
  <c r="E24" i="2"/>
  <c r="E25" i="2"/>
  <c r="E26" i="2"/>
  <c r="E27" i="2"/>
  <c r="E28" i="2"/>
  <c r="E29" i="2"/>
  <c r="E30" i="2"/>
  <c r="E31" i="2"/>
  <c r="E32" i="2"/>
  <c r="D16" i="2"/>
  <c r="D17" i="2"/>
  <c r="D18" i="2"/>
  <c r="D19" i="2"/>
  <c r="D20" i="2"/>
  <c r="D21" i="2"/>
  <c r="D22" i="2"/>
  <c r="D23" i="2"/>
  <c r="D24" i="2"/>
  <c r="D25" i="2"/>
  <c r="D26" i="2"/>
  <c r="D27" i="2"/>
  <c r="D28" i="2"/>
  <c r="D29" i="2"/>
  <c r="D30" i="2"/>
  <c r="D31" i="2"/>
  <c r="D32" i="2"/>
  <c r="DT56" i="5"/>
  <c r="DS56" i="5"/>
  <c r="DT47" i="5"/>
  <c r="DS47" i="5"/>
  <c r="DT38" i="5"/>
  <c r="DS38" i="5"/>
  <c r="DT29" i="5"/>
  <c r="DS29" i="5"/>
  <c r="DT20" i="5"/>
  <c r="DS20" i="5"/>
  <c r="DT11" i="5"/>
  <c r="DS11" i="5"/>
  <c r="DT7" i="5"/>
  <c r="DS7" i="5"/>
  <c r="DR56" i="5"/>
  <c r="DQ56" i="5"/>
  <c r="DR47" i="5"/>
  <c r="DQ47" i="5"/>
  <c r="DR38" i="5"/>
  <c r="DQ38" i="5"/>
  <c r="DR29" i="5"/>
  <c r="DQ29" i="5"/>
  <c r="DR20" i="5"/>
  <c r="DQ20" i="5"/>
  <c r="DR11" i="5"/>
  <c r="DQ11" i="5"/>
  <c r="DR7" i="5"/>
  <c r="DQ7" i="5"/>
  <c r="DL29" i="5"/>
  <c r="DL38" i="5" s="1"/>
  <c r="DL47" i="5" s="1"/>
  <c r="DL56" i="5" s="1"/>
  <c r="DK29" i="5"/>
  <c r="DK38" i="5" s="1"/>
  <c r="DK47" i="5" s="1"/>
  <c r="DK56" i="5" s="1"/>
  <c r="DL20" i="5"/>
  <c r="DK20" i="5"/>
  <c r="DL11" i="5"/>
  <c r="DK11" i="5"/>
  <c r="DL7" i="5"/>
  <c r="DK7" i="5"/>
  <c r="DP56" i="5"/>
  <c r="DO56" i="5"/>
  <c r="DP47" i="5"/>
  <c r="DO47" i="5"/>
  <c r="DP38" i="5"/>
  <c r="DO38" i="5"/>
  <c r="DP29" i="5"/>
  <c r="DO29" i="5"/>
  <c r="DP20" i="5"/>
  <c r="DO20" i="5"/>
  <c r="DP11" i="5"/>
  <c r="DO11" i="5"/>
  <c r="DP7" i="5"/>
  <c r="DO7" i="5"/>
  <c r="I88" i="11"/>
  <c r="J86" i="11"/>
  <c r="G93" i="11"/>
  <c r="J112" i="8" l="1"/>
  <c r="G119" i="8"/>
  <c r="J118" i="8" l="1"/>
  <c r="G59" i="8" l="1"/>
  <c r="D17" i="8" l="1"/>
  <c r="G17" i="8" s="1"/>
  <c r="F17" i="8" l="1"/>
  <c r="B68" i="8"/>
  <c r="E15" i="2"/>
  <c r="AB56" i="5" l="1"/>
  <c r="AC56" i="5"/>
  <c r="AD56" i="5"/>
  <c r="AE56" i="5"/>
  <c r="AF56" i="5"/>
  <c r="AG56" i="5"/>
  <c r="AH56" i="5"/>
  <c r="AI56" i="5"/>
  <c r="AJ56" i="5"/>
  <c r="AK56" i="5"/>
  <c r="AL56" i="5"/>
  <c r="AM56" i="5"/>
  <c r="AN56" i="5"/>
  <c r="AO56" i="5"/>
  <c r="AP56" i="5"/>
  <c r="AQ56" i="5"/>
  <c r="AR56" i="5"/>
  <c r="AS56" i="5"/>
  <c r="AT56" i="5"/>
  <c r="AU56" i="5"/>
  <c r="AV56" i="5"/>
  <c r="AW56" i="5"/>
  <c r="AX56" i="5"/>
  <c r="AY56" i="5"/>
  <c r="AZ56" i="5"/>
  <c r="BA56" i="5"/>
  <c r="BB56" i="5"/>
  <c r="BC56" i="5"/>
  <c r="BD56" i="5"/>
  <c r="BE56" i="5"/>
  <c r="BF56" i="5"/>
  <c r="BG56" i="5"/>
  <c r="BH56" i="5"/>
  <c r="BI56" i="5"/>
  <c r="BJ56" i="5"/>
  <c r="BK56" i="5"/>
  <c r="BL56" i="5"/>
  <c r="BM56" i="5"/>
  <c r="BN56" i="5"/>
  <c r="BO56" i="5"/>
  <c r="BP56" i="5"/>
  <c r="BQ56" i="5"/>
  <c r="BR56" i="5"/>
  <c r="BS56" i="5"/>
  <c r="BT56" i="5"/>
  <c r="BU56" i="5"/>
  <c r="BV56" i="5"/>
  <c r="BW56" i="5"/>
  <c r="BX56" i="5"/>
  <c r="BY56" i="5"/>
  <c r="BZ56" i="5"/>
  <c r="CA56" i="5"/>
  <c r="CB56" i="5"/>
  <c r="CC56" i="5"/>
  <c r="CD56" i="5"/>
  <c r="CE56" i="5"/>
  <c r="CF56" i="5"/>
  <c r="CG56" i="5"/>
  <c r="CH56" i="5"/>
  <c r="CI56" i="5"/>
  <c r="CJ56" i="5"/>
  <c r="CK56" i="5"/>
  <c r="CL56" i="5"/>
  <c r="CM56" i="5"/>
  <c r="CN56" i="5"/>
  <c r="CO56" i="5"/>
  <c r="CP56" i="5"/>
  <c r="CQ56" i="5"/>
  <c r="CR56" i="5"/>
  <c r="CS56" i="5"/>
  <c r="CT56" i="5"/>
  <c r="CU56" i="5"/>
  <c r="CV56" i="5"/>
  <c r="CW56" i="5"/>
  <c r="CX56" i="5"/>
  <c r="CY56" i="5"/>
  <c r="CZ56" i="5"/>
  <c r="DA56" i="5"/>
  <c r="DB56" i="5"/>
  <c r="DC56" i="5"/>
  <c r="DD56" i="5"/>
  <c r="DG56" i="5"/>
  <c r="DH56" i="5"/>
  <c r="DI56" i="5"/>
  <c r="DJ56" i="5"/>
  <c r="AA56" i="5"/>
  <c r="Z56" i="5"/>
  <c r="DG47" i="5"/>
  <c r="DJ47" i="5"/>
  <c r="DI47" i="5"/>
  <c r="DH47" i="5"/>
  <c r="DJ38" i="5"/>
  <c r="DI38" i="5"/>
  <c r="DH38" i="5"/>
  <c r="DG38" i="5"/>
  <c r="DJ29" i="5"/>
  <c r="DI29" i="5"/>
  <c r="DH29" i="5"/>
  <c r="DG29" i="5"/>
  <c r="DJ20" i="5"/>
  <c r="DI20" i="5"/>
  <c r="DH20" i="5"/>
  <c r="DG20" i="5"/>
  <c r="DJ7" i="5"/>
  <c r="DJ11" i="5" s="1"/>
  <c r="DI7" i="5"/>
  <c r="DI11" i="5" s="1"/>
  <c r="DH7" i="5"/>
  <c r="DH11" i="5" s="1"/>
  <c r="DG7" i="5"/>
  <c r="DG11" i="5" s="1"/>
  <c r="Y56" i="5"/>
  <c r="X56" i="5"/>
  <c r="W56" i="5"/>
  <c r="V56" i="5"/>
  <c r="U56" i="5"/>
  <c r="T56" i="5"/>
  <c r="S56" i="5"/>
  <c r="R56" i="5"/>
  <c r="Q56" i="5"/>
  <c r="P56" i="5"/>
  <c r="DD47" i="5" l="1"/>
  <c r="DC47" i="5"/>
  <c r="DD38" i="5"/>
  <c r="DC38" i="5"/>
  <c r="DD29" i="5"/>
  <c r="DC29" i="5"/>
  <c r="DD20" i="5"/>
  <c r="DC20" i="5"/>
  <c r="DC11" i="5"/>
  <c r="DD7" i="5"/>
  <c r="DD11" i="5" s="1"/>
  <c r="DC7" i="5"/>
  <c r="DB7" i="5"/>
  <c r="DB11" i="5" s="1"/>
  <c r="DB20" i="5" s="1"/>
  <c r="DB29" i="5" s="1"/>
  <c r="DB38" i="5" s="1"/>
  <c r="DB47" i="5" s="1"/>
  <c r="DA7" i="5"/>
  <c r="DA11" i="5" s="1"/>
  <c r="DA20" i="5" s="1"/>
  <c r="DA29" i="5" s="1"/>
  <c r="DA38" i="5" s="1"/>
  <c r="DA47" i="5" s="1"/>
  <c r="CZ7" i="5"/>
  <c r="CZ11" i="5" s="1"/>
  <c r="CZ20" i="5" s="1"/>
  <c r="CZ29" i="5" s="1"/>
  <c r="CZ38" i="5" s="1"/>
  <c r="CZ47" i="5" s="1"/>
  <c r="CY47" i="5"/>
  <c r="CX47" i="5"/>
  <c r="CW47" i="5"/>
  <c r="CV47" i="5"/>
  <c r="CY38" i="5"/>
  <c r="CX38" i="5"/>
  <c r="CW38" i="5"/>
  <c r="CV38" i="5"/>
  <c r="CY29" i="5"/>
  <c r="CX29" i="5"/>
  <c r="CW29" i="5"/>
  <c r="CV29" i="5"/>
  <c r="CY20" i="5"/>
  <c r="CX20" i="5"/>
  <c r="CW20" i="5"/>
  <c r="CV20" i="5"/>
  <c r="CY11" i="5"/>
  <c r="CX11" i="5"/>
  <c r="CW11" i="5"/>
  <c r="CV11" i="5"/>
  <c r="CY7" i="5"/>
  <c r="CX7" i="5"/>
  <c r="CW7" i="5"/>
  <c r="CV7" i="5"/>
  <c r="CM7" i="5"/>
  <c r="CM11" i="5" s="1"/>
  <c r="CM20" i="5" s="1"/>
  <c r="CM29" i="5" s="1"/>
  <c r="CM38" i="5" s="1"/>
  <c r="CM47" i="5" s="1"/>
  <c r="CL7" i="5"/>
  <c r="CL11" i="5" s="1"/>
  <c r="CL20" i="5" s="1"/>
  <c r="CL29" i="5" s="1"/>
  <c r="CL38" i="5" s="1"/>
  <c r="CL47" i="5" s="1"/>
  <c r="CO7" i="5"/>
  <c r="CO11" i="5" s="1"/>
  <c r="CO20" i="5" s="1"/>
  <c r="CO29" i="5" s="1"/>
  <c r="CO38" i="5" s="1"/>
  <c r="CO47" i="5" s="1"/>
  <c r="CN7" i="5"/>
  <c r="CN11" i="5" s="1"/>
  <c r="CN20" i="5" s="1"/>
  <c r="CN29" i="5" s="1"/>
  <c r="CN38" i="5" s="1"/>
  <c r="CN47" i="5" s="1"/>
  <c r="CS47" i="5"/>
  <c r="CR47" i="5"/>
  <c r="CQ47" i="5"/>
  <c r="CP47" i="5"/>
  <c r="CS38" i="5"/>
  <c r="CR38" i="5"/>
  <c r="CQ38" i="5"/>
  <c r="CP38" i="5"/>
  <c r="CS29" i="5"/>
  <c r="CR29" i="5"/>
  <c r="CQ29" i="5"/>
  <c r="CP29" i="5"/>
  <c r="CS20" i="5"/>
  <c r="CR20" i="5"/>
  <c r="CQ20" i="5"/>
  <c r="CP20" i="5"/>
  <c r="CS11" i="5"/>
  <c r="CR11" i="5"/>
  <c r="CQ11" i="5"/>
  <c r="CP11" i="5"/>
  <c r="CS7" i="5"/>
  <c r="CR7" i="5"/>
  <c r="CQ7" i="5"/>
  <c r="CP7" i="5"/>
  <c r="CI47" i="5"/>
  <c r="CH47" i="5"/>
  <c r="CG47" i="5"/>
  <c r="CF47" i="5"/>
  <c r="CE47" i="5"/>
  <c r="CD47" i="5"/>
  <c r="CC47" i="5"/>
  <c r="CB47" i="5"/>
  <c r="CI38" i="5"/>
  <c r="CH38" i="5"/>
  <c r="CG38" i="5"/>
  <c r="CF38" i="5"/>
  <c r="CE38" i="5"/>
  <c r="CD38" i="5"/>
  <c r="CC38" i="5"/>
  <c r="CB38" i="5"/>
  <c r="CI29" i="5"/>
  <c r="CH29" i="5"/>
  <c r="CG29" i="5"/>
  <c r="CF29" i="5"/>
  <c r="CE29" i="5"/>
  <c r="CD29" i="5"/>
  <c r="CC29" i="5"/>
  <c r="CB29" i="5"/>
  <c r="CI20" i="5"/>
  <c r="CH20" i="5"/>
  <c r="CG20" i="5"/>
  <c r="CF20" i="5"/>
  <c r="CE20" i="5"/>
  <c r="CD20" i="5"/>
  <c r="CC20" i="5"/>
  <c r="CB20" i="5"/>
  <c r="CI11" i="5"/>
  <c r="CH11" i="5"/>
  <c r="CG11" i="5"/>
  <c r="CF11" i="5"/>
  <c r="CE11" i="5"/>
  <c r="CD11" i="5"/>
  <c r="CC11" i="5"/>
  <c r="CB11" i="5"/>
  <c r="CI7" i="5"/>
  <c r="CH7" i="5"/>
  <c r="CG7" i="5"/>
  <c r="CF7" i="5"/>
  <c r="CE7" i="5"/>
  <c r="CD7" i="5"/>
  <c r="CC7" i="5"/>
  <c r="CB7" i="5"/>
  <c r="CA47" i="5"/>
  <c r="BZ47" i="5"/>
  <c r="CA38" i="5"/>
  <c r="BZ38" i="5"/>
  <c r="CA29" i="5"/>
  <c r="BZ29" i="5"/>
  <c r="CA20" i="5"/>
  <c r="BZ20" i="5"/>
  <c r="CA11" i="5"/>
  <c r="BZ11" i="5"/>
  <c r="CA7" i="5"/>
  <c r="BZ7" i="5"/>
  <c r="CK47" i="5" l="1"/>
  <c r="CJ47" i="5"/>
  <c r="CK38" i="5"/>
  <c r="CJ38" i="5"/>
  <c r="CK29" i="5"/>
  <c r="CJ29" i="5"/>
  <c r="CK20" i="5"/>
  <c r="CJ20" i="5"/>
  <c r="CK11" i="5"/>
  <c r="CJ11" i="5"/>
  <c r="CK7" i="5"/>
  <c r="CJ7" i="5"/>
  <c r="BW47" i="5"/>
  <c r="BV47" i="5"/>
  <c r="BW38" i="5"/>
  <c r="BV38" i="5"/>
  <c r="BW29" i="5"/>
  <c r="BV29" i="5"/>
  <c r="BW20" i="5"/>
  <c r="BV20" i="5"/>
  <c r="BW11" i="5"/>
  <c r="BV11" i="5"/>
  <c r="BW7" i="5"/>
  <c r="BV7" i="5"/>
  <c r="CU47" i="5"/>
  <c r="CT47" i="5"/>
  <c r="CU38" i="5"/>
  <c r="CT38" i="5"/>
  <c r="CU29" i="5"/>
  <c r="CT29" i="5"/>
  <c r="CU20" i="5"/>
  <c r="CT20" i="5"/>
  <c r="CU11" i="5"/>
  <c r="CT11" i="5"/>
  <c r="CU7" i="5"/>
  <c r="CT7" i="5"/>
  <c r="BY47" i="5"/>
  <c r="BY38" i="5"/>
  <c r="BY29" i="5"/>
  <c r="BY20" i="5"/>
  <c r="BY11" i="5"/>
  <c r="BY7" i="5"/>
  <c r="BX47" i="5"/>
  <c r="BU47" i="5"/>
  <c r="BT47" i="5"/>
  <c r="BS47" i="5"/>
  <c r="BR47" i="5"/>
  <c r="BX38" i="5"/>
  <c r="BU38" i="5"/>
  <c r="BT38" i="5"/>
  <c r="BS38" i="5"/>
  <c r="BR38" i="5"/>
  <c r="BX29" i="5"/>
  <c r="BU29" i="5"/>
  <c r="BT29" i="5"/>
  <c r="BS29" i="5"/>
  <c r="BR29" i="5"/>
  <c r="BX20" i="5"/>
  <c r="BU20" i="5"/>
  <c r="BT20" i="5"/>
  <c r="BS20" i="5"/>
  <c r="BR20" i="5"/>
  <c r="BX11" i="5"/>
  <c r="BU11" i="5"/>
  <c r="BT11" i="5"/>
  <c r="BS11" i="5"/>
  <c r="BR11" i="5"/>
  <c r="BX7" i="5"/>
  <c r="BU7" i="5"/>
  <c r="BT7" i="5"/>
  <c r="BS7" i="5"/>
  <c r="BR7" i="5"/>
  <c r="BG47" i="5"/>
  <c r="BF47" i="5"/>
  <c r="BG38" i="5"/>
  <c r="BF38" i="5"/>
  <c r="BG29" i="5"/>
  <c r="BF29" i="5"/>
  <c r="BG20" i="5"/>
  <c r="BF20" i="5"/>
  <c r="BG11" i="5"/>
  <c r="BF11" i="5"/>
  <c r="BG7" i="5"/>
  <c r="BF7" i="5"/>
  <c r="BQ47" i="5" l="1"/>
  <c r="BQ38" i="5"/>
  <c r="BQ29" i="5"/>
  <c r="BQ20" i="5"/>
  <c r="BQ11" i="5"/>
  <c r="BQ7" i="5"/>
  <c r="BA47" i="5" l="1"/>
  <c r="AZ47" i="5"/>
  <c r="BA38" i="5"/>
  <c r="AZ38" i="5"/>
  <c r="BA29" i="5"/>
  <c r="AZ29" i="5"/>
  <c r="BA20" i="5"/>
  <c r="AZ20" i="5"/>
  <c r="BA11" i="5"/>
  <c r="AZ11" i="5"/>
  <c r="BA7" i="5"/>
  <c r="AZ7" i="5"/>
  <c r="BC47" i="5"/>
  <c r="BB47" i="5"/>
  <c r="BC38" i="5"/>
  <c r="BB38" i="5"/>
  <c r="BC29" i="5"/>
  <c r="BB29" i="5"/>
  <c r="BC20" i="5"/>
  <c r="BB20" i="5"/>
  <c r="BC11" i="5"/>
  <c r="BB11" i="5"/>
  <c r="BC7" i="5"/>
  <c r="BB7" i="5"/>
  <c r="AY47" i="5"/>
  <c r="AY38" i="5"/>
  <c r="AY29" i="5"/>
  <c r="AY20" i="5"/>
  <c r="AY11" i="5"/>
  <c r="AY7" i="5"/>
  <c r="AX47" i="5"/>
  <c r="AW47" i="5"/>
  <c r="AX38" i="5"/>
  <c r="AW38" i="5"/>
  <c r="AX29" i="5"/>
  <c r="AW29" i="5"/>
  <c r="AX20" i="5"/>
  <c r="AW20" i="5"/>
  <c r="AX11" i="5"/>
  <c r="AW11" i="5"/>
  <c r="AX7" i="5"/>
  <c r="AW7" i="5"/>
  <c r="AV47" i="5"/>
  <c r="AV38" i="5"/>
  <c r="AV29" i="5"/>
  <c r="AV20" i="5"/>
  <c r="AV11" i="5"/>
  <c r="AV7" i="5"/>
  <c r="BO47" i="5" l="1"/>
  <c r="BN47" i="5"/>
  <c r="BO38" i="5"/>
  <c r="BN38" i="5"/>
  <c r="BO29" i="5"/>
  <c r="BN29" i="5"/>
  <c r="BO20" i="5"/>
  <c r="BN20" i="5"/>
  <c r="BO11" i="5"/>
  <c r="BN11" i="5"/>
  <c r="BO7" i="5"/>
  <c r="BN7" i="5"/>
  <c r="BM47" i="5"/>
  <c r="BL47" i="5"/>
  <c r="BM38" i="5"/>
  <c r="BL38" i="5"/>
  <c r="BM29" i="5"/>
  <c r="BL29" i="5"/>
  <c r="BM20" i="5"/>
  <c r="BL20" i="5"/>
  <c r="BM11" i="5"/>
  <c r="BL11" i="5"/>
  <c r="BM7" i="5"/>
  <c r="BL7" i="5"/>
  <c r="BK47" i="5"/>
  <c r="BJ47" i="5"/>
  <c r="BK38" i="5"/>
  <c r="BJ38" i="5"/>
  <c r="BK29" i="5"/>
  <c r="BJ29" i="5"/>
  <c r="BK20" i="5"/>
  <c r="BJ20" i="5"/>
  <c r="BK11" i="5"/>
  <c r="BJ11" i="5"/>
  <c r="BK7" i="5"/>
  <c r="BJ7" i="5"/>
  <c r="BP47" i="5"/>
  <c r="BP38" i="5"/>
  <c r="BP29" i="5"/>
  <c r="BP20" i="5"/>
  <c r="BP11" i="5"/>
  <c r="BP7" i="5"/>
  <c r="BH47" i="5"/>
  <c r="BH38" i="5"/>
  <c r="BH29" i="5"/>
  <c r="BH20" i="5"/>
  <c r="BH11" i="5"/>
  <c r="BH7" i="5"/>
  <c r="BI47" i="5"/>
  <c r="BI38" i="5"/>
  <c r="BI29" i="5"/>
  <c r="BI20" i="5"/>
  <c r="BI11" i="5"/>
  <c r="BI7" i="5"/>
  <c r="BE47" i="5" l="1"/>
  <c r="BE38" i="5"/>
  <c r="BE29" i="5"/>
  <c r="BE20" i="5"/>
  <c r="BE11" i="5"/>
  <c r="BE7" i="5"/>
  <c r="AU47" i="5"/>
  <c r="AU38" i="5"/>
  <c r="AU29" i="5"/>
  <c r="AU20" i="5"/>
  <c r="AU11" i="5"/>
  <c r="AU7" i="5"/>
  <c r="AT47" i="5"/>
  <c r="AT38" i="5"/>
  <c r="AT29" i="5"/>
  <c r="AT20" i="5"/>
  <c r="AT11" i="5"/>
  <c r="AT7" i="5"/>
  <c r="D5" i="8" l="1"/>
  <c r="D84" i="8" l="1"/>
  <c r="H50" i="2" l="1"/>
  <c r="G50" i="2"/>
  <c r="J92" i="11" l="1"/>
  <c r="I114" i="8"/>
  <c r="J114" i="8" s="1"/>
  <c r="AF47" i="5"/>
  <c r="AF38" i="5"/>
  <c r="AF29" i="5"/>
  <c r="AF20" i="5"/>
  <c r="AF11" i="5"/>
  <c r="AF7" i="5"/>
  <c r="AK47" i="5"/>
  <c r="AK38" i="5"/>
  <c r="AK29" i="5"/>
  <c r="AK20" i="5"/>
  <c r="AK11" i="5"/>
  <c r="AK7" i="5"/>
  <c r="AJ47" i="5" l="1"/>
  <c r="AJ38" i="5"/>
  <c r="AJ29" i="5"/>
  <c r="AJ20" i="5"/>
  <c r="AJ11" i="5"/>
  <c r="AJ7" i="5"/>
  <c r="D16" i="11"/>
  <c r="D15" i="11"/>
  <c r="D14" i="11"/>
  <c r="B15" i="11" s="1"/>
  <c r="D9" i="11"/>
  <c r="J88" i="11"/>
  <c r="J85" i="11"/>
  <c r="D5" i="11"/>
  <c r="D4" i="11"/>
  <c r="B68" i="11" l="1"/>
  <c r="D36" i="2"/>
  <c r="B64" i="11"/>
  <c r="B65" i="11"/>
  <c r="B66" i="11"/>
  <c r="B69" i="11"/>
  <c r="B70" i="11"/>
  <c r="B71" i="11"/>
  <c r="B16" i="11"/>
  <c r="B67" i="11"/>
  <c r="D37" i="2" l="1"/>
  <c r="K53" i="2" l="1"/>
  <c r="K54" i="2"/>
  <c r="K55" i="2"/>
  <c r="D17" i="11" l="1"/>
  <c r="F65" i="11" l="1"/>
  <c r="D70" i="11"/>
  <c r="F70" i="11"/>
  <c r="D65" i="11"/>
  <c r="F16" i="8"/>
  <c r="F15" i="8"/>
  <c r="B16" i="8"/>
  <c r="B15" i="8"/>
  <c r="B83" i="8" l="1"/>
  <c r="B86" i="8"/>
  <c r="B87" i="8" l="1"/>
  <c r="B85" i="8"/>
  <c r="AL47" i="5" l="1"/>
  <c r="AL38" i="5"/>
  <c r="AL29" i="5"/>
  <c r="AL20" i="5"/>
  <c r="AL11" i="5"/>
  <c r="AL7" i="5"/>
  <c r="BD47" i="5"/>
  <c r="AS47" i="5"/>
  <c r="AR47" i="5"/>
  <c r="AQ47" i="5"/>
  <c r="AP47" i="5"/>
  <c r="AO47" i="5"/>
  <c r="AN47" i="5"/>
  <c r="AM47" i="5"/>
  <c r="AI47" i="5"/>
  <c r="AH47" i="5"/>
  <c r="AG47" i="5"/>
  <c r="AC47" i="5"/>
  <c r="AB47" i="5"/>
  <c r="AA47" i="5"/>
  <c r="Z47" i="5"/>
  <c r="Y47" i="5"/>
  <c r="X47" i="5"/>
  <c r="W47" i="5"/>
  <c r="V47" i="5"/>
  <c r="U47" i="5"/>
  <c r="T47" i="5"/>
  <c r="S47" i="5"/>
  <c r="R47" i="5"/>
  <c r="Q47" i="5"/>
  <c r="P47" i="5"/>
  <c r="BD38" i="5"/>
  <c r="AS38" i="5"/>
  <c r="AR38" i="5"/>
  <c r="AQ38" i="5"/>
  <c r="AP38" i="5"/>
  <c r="AO38" i="5"/>
  <c r="AN38" i="5"/>
  <c r="AM38" i="5"/>
  <c r="AI38" i="5"/>
  <c r="AH38" i="5"/>
  <c r="AG38" i="5"/>
  <c r="AC38" i="5"/>
  <c r="AB38" i="5"/>
  <c r="AA38" i="5"/>
  <c r="Z38" i="5"/>
  <c r="Y38" i="5"/>
  <c r="X38" i="5"/>
  <c r="W38" i="5"/>
  <c r="V38" i="5"/>
  <c r="U38" i="5"/>
  <c r="T38" i="5"/>
  <c r="S38" i="5"/>
  <c r="R38" i="5"/>
  <c r="Q38" i="5"/>
  <c r="P38" i="5"/>
  <c r="BD29" i="5"/>
  <c r="AS29" i="5"/>
  <c r="AR29" i="5"/>
  <c r="AQ29" i="5"/>
  <c r="AP29" i="5"/>
  <c r="AO29" i="5"/>
  <c r="AN29" i="5"/>
  <c r="AM29" i="5"/>
  <c r="AI29" i="5"/>
  <c r="AH29" i="5"/>
  <c r="AG29" i="5"/>
  <c r="AC29" i="5"/>
  <c r="AB29" i="5"/>
  <c r="AA29" i="5"/>
  <c r="Z29" i="5"/>
  <c r="Y29" i="5"/>
  <c r="X29" i="5"/>
  <c r="W29" i="5"/>
  <c r="V29" i="5"/>
  <c r="U29" i="5"/>
  <c r="T29" i="5"/>
  <c r="S29" i="5"/>
  <c r="R29" i="5"/>
  <c r="Q29" i="5"/>
  <c r="P29" i="5"/>
  <c r="BD20" i="5"/>
  <c r="AS20" i="5"/>
  <c r="AR20" i="5"/>
  <c r="AQ20" i="5"/>
  <c r="AP20" i="5"/>
  <c r="AO20" i="5"/>
  <c r="AN20" i="5"/>
  <c r="AM20" i="5"/>
  <c r="AI20" i="5"/>
  <c r="AH20" i="5"/>
  <c r="AG20" i="5"/>
  <c r="AC20" i="5"/>
  <c r="AB20" i="5"/>
  <c r="AA20" i="5"/>
  <c r="Z20" i="5"/>
  <c r="Y20" i="5"/>
  <c r="X20" i="5"/>
  <c r="W20" i="5"/>
  <c r="V20" i="5"/>
  <c r="U20" i="5"/>
  <c r="T20" i="5"/>
  <c r="S20" i="5"/>
  <c r="R20" i="5"/>
  <c r="Q20" i="5"/>
  <c r="P20" i="5"/>
  <c r="BD11" i="5"/>
  <c r="AS11" i="5"/>
  <c r="AR11" i="5"/>
  <c r="AQ11" i="5"/>
  <c r="AP11" i="5"/>
  <c r="AO11" i="5"/>
  <c r="AN11" i="5"/>
  <c r="AM11" i="5"/>
  <c r="AI11" i="5"/>
  <c r="AH11" i="5"/>
  <c r="AG11" i="5"/>
  <c r="AC11" i="5"/>
  <c r="AB11" i="5"/>
  <c r="AA11" i="5"/>
  <c r="Z11" i="5"/>
  <c r="Y11" i="5"/>
  <c r="X11" i="5"/>
  <c r="W11" i="5"/>
  <c r="V11" i="5"/>
  <c r="U11" i="5"/>
  <c r="T11" i="5"/>
  <c r="S11" i="5"/>
  <c r="R11" i="5"/>
  <c r="Q11" i="5"/>
  <c r="P11" i="5"/>
  <c r="BD7" i="5"/>
  <c r="AS7" i="5"/>
  <c r="AR7" i="5"/>
  <c r="AQ7" i="5"/>
  <c r="AP7" i="5"/>
  <c r="AO7" i="5"/>
  <c r="AN7" i="5"/>
  <c r="AM7" i="5"/>
  <c r="AI7" i="5"/>
  <c r="AH7" i="5"/>
  <c r="AG7" i="5"/>
  <c r="AC7" i="5"/>
  <c r="AB7" i="5"/>
  <c r="AA7" i="5"/>
  <c r="Z7" i="5"/>
  <c r="Y7" i="5"/>
  <c r="X7" i="5"/>
  <c r="W7" i="5"/>
  <c r="V7" i="5"/>
  <c r="U7" i="5"/>
  <c r="T7" i="5"/>
  <c r="S7" i="5"/>
  <c r="R7" i="5"/>
  <c r="Q7" i="5"/>
  <c r="P7" i="5"/>
  <c r="D15" i="2"/>
  <c r="D6" i="11" s="1"/>
  <c r="D51" i="2" l="1"/>
  <c r="D52" i="2" s="1"/>
  <c r="E51" i="2"/>
  <c r="F51" i="2" s="1"/>
  <c r="B41" i="2"/>
  <c r="D41" i="2"/>
  <c r="I51" i="2"/>
  <c r="B36" i="2"/>
  <c r="B37" i="2"/>
  <c r="D53" i="2" l="1"/>
  <c r="D54" i="2" s="1"/>
  <c r="D55" i="2" s="1"/>
  <c r="D56" i="2" s="1"/>
  <c r="B42" i="2"/>
  <c r="D42" i="2"/>
  <c r="B90" i="8"/>
  <c r="B89" i="8"/>
  <c r="B84" i="8"/>
  <c r="B88" i="8"/>
  <c r="H51" i="2" l="1"/>
  <c r="K51" i="2" s="1"/>
  <c r="H52" i="2"/>
  <c r="H53" i="2"/>
  <c r="H54" i="2"/>
  <c r="H55" i="2"/>
  <c r="H56" i="2"/>
  <c r="H57" i="2"/>
  <c r="D43" i="2"/>
  <c r="D44" i="2" s="1"/>
  <c r="D57" i="2"/>
  <c r="D4" i="8"/>
  <c r="D45" i="2" l="1"/>
  <c r="D46" i="2" s="1"/>
  <c r="U15" i="2"/>
  <c r="D47" i="2" l="1"/>
  <c r="H15" i="2"/>
  <c r="F15" i="2"/>
  <c r="U31" i="2"/>
  <c r="U32" i="2"/>
  <c r="U30" i="2"/>
  <c r="U29" i="2"/>
  <c r="U28" i="2"/>
  <c r="U27" i="2"/>
  <c r="U26" i="2"/>
  <c r="U25" i="2"/>
  <c r="U24" i="2"/>
  <c r="U23" i="2"/>
  <c r="U21" i="2"/>
  <c r="U20" i="2"/>
  <c r="U19" i="2"/>
  <c r="U17" i="2"/>
  <c r="U16" i="2"/>
  <c r="U18" i="2" l="1"/>
  <c r="AC61" i="2"/>
  <c r="W36" i="2"/>
  <c r="U22" i="2"/>
  <c r="B51" i="2"/>
  <c r="D6" i="8"/>
  <c r="C33" i="2" l="1"/>
  <c r="I52" i="2"/>
  <c r="E52" i="2"/>
  <c r="F52" i="2" s="1"/>
  <c r="G56" i="2"/>
  <c r="W37" i="2"/>
  <c r="AB51" i="2"/>
  <c r="AB57" i="2"/>
  <c r="AB56" i="2"/>
  <c r="AB55" i="2"/>
  <c r="AB54" i="2"/>
  <c r="AB53" i="2"/>
  <c r="AB52" i="2"/>
  <c r="K52" i="2" l="1"/>
  <c r="B45" i="2"/>
  <c r="B43" i="2"/>
  <c r="G51" i="2"/>
  <c r="J51" i="2" s="1"/>
  <c r="L51" i="2" s="1"/>
  <c r="G55" i="2"/>
  <c r="G52" i="2"/>
  <c r="G53" i="2"/>
  <c r="G54" i="2"/>
  <c r="G57" i="2"/>
  <c r="AA61" i="2"/>
  <c r="AC50" i="2"/>
  <c r="AB50" i="2"/>
  <c r="B47" i="2" l="1"/>
  <c r="B44" i="2"/>
  <c r="B46" i="2"/>
  <c r="AC55" i="2"/>
  <c r="AD55" i="2" s="1"/>
  <c r="AC53" i="2"/>
  <c r="AD53" i="2" s="1"/>
  <c r="AC56" i="2"/>
  <c r="AD56" i="2" s="1"/>
  <c r="AC52" i="2"/>
  <c r="AD52" i="2" s="1"/>
  <c r="AC54" i="2"/>
  <c r="AD54" i="2" s="1"/>
  <c r="AC57" i="2"/>
  <c r="AD57" i="2" s="1"/>
  <c r="F7" i="2" l="1"/>
  <c r="W41" i="2" l="1"/>
  <c r="C58" i="2" l="1"/>
  <c r="G23" i="11" l="1"/>
  <c r="G22" i="11"/>
  <c r="F19" i="11"/>
  <c r="B13" i="2"/>
  <c r="B40" i="2" l="1"/>
  <c r="B35" i="2"/>
  <c r="I53" i="2" l="1"/>
  <c r="E53" i="2"/>
  <c r="F53" i="2" s="1"/>
  <c r="W42" i="2"/>
  <c r="B52" i="2"/>
  <c r="W43" i="2"/>
  <c r="B53" i="2"/>
  <c r="I54" i="2" l="1"/>
  <c r="E54" i="2"/>
  <c r="F54" i="2" s="1"/>
  <c r="W44" i="2"/>
  <c r="I55" i="2"/>
  <c r="B54" i="2" l="1"/>
  <c r="E55" i="2"/>
  <c r="F55" i="2" s="1"/>
  <c r="B55" i="2"/>
  <c r="W45" i="2"/>
  <c r="I56" i="2" l="1"/>
  <c r="E56" i="2"/>
  <c r="F56" i="2" s="1"/>
  <c r="E57" i="2"/>
  <c r="F57" i="2" s="1"/>
  <c r="W46" i="2"/>
  <c r="J52" i="2" s="1"/>
  <c r="L52" i="2" l="1"/>
  <c r="K56" i="2"/>
  <c r="J56" i="2"/>
  <c r="I57" i="2"/>
  <c r="K57" i="2" s="1"/>
  <c r="J55" i="2"/>
  <c r="L55" i="2" s="1"/>
  <c r="J53" i="2"/>
  <c r="L53" i="2" s="1"/>
  <c r="J54" i="2"/>
  <c r="L54" i="2" s="1"/>
  <c r="AB61" i="2"/>
  <c r="AD61" i="2" s="1"/>
  <c r="AA55" i="2"/>
  <c r="B56" i="2"/>
  <c r="J57" i="2" l="1"/>
  <c r="J58" i="2" s="1"/>
  <c r="L56" i="2"/>
  <c r="AA52" i="2"/>
  <c r="AA53" i="2"/>
  <c r="AA54" i="2"/>
  <c r="AA56" i="2"/>
  <c r="B57" i="2"/>
  <c r="K58" i="2" s="1"/>
  <c r="K118" i="8" l="1"/>
  <c r="K92" i="11"/>
  <c r="D126" i="8"/>
  <c r="K111" i="8"/>
  <c r="D90" i="11"/>
  <c r="D114" i="8"/>
  <c r="D85" i="11"/>
  <c r="F57" i="8"/>
  <c r="D121" i="8"/>
  <c r="B118" i="8"/>
  <c r="B132" i="8"/>
  <c r="B138" i="8"/>
  <c r="B115" i="8"/>
  <c r="B90" i="11"/>
  <c r="D84" i="11"/>
  <c r="D8" i="8"/>
  <c r="B84" i="11"/>
  <c r="B85" i="11"/>
  <c r="I87" i="11"/>
  <c r="H87" i="11"/>
  <c r="I113" i="8"/>
  <c r="B112" i="8"/>
  <c r="D115" i="8"/>
  <c r="G60" i="8"/>
  <c r="B70" i="8"/>
  <c r="B111" i="8"/>
  <c r="B125" i="8"/>
  <c r="B83" i="11"/>
  <c r="B116" i="8"/>
  <c r="G63" i="8"/>
  <c r="D120" i="8"/>
  <c r="F55" i="8"/>
  <c r="D118" i="8"/>
  <c r="B133" i="8"/>
  <c r="B130" i="8"/>
  <c r="B120" i="8"/>
  <c r="B124" i="8"/>
  <c r="G65" i="8"/>
  <c r="B137" i="8"/>
  <c r="B121" i="8"/>
  <c r="B28" i="8"/>
  <c r="B28" i="11" s="1"/>
  <c r="D117" i="8"/>
  <c r="D88" i="11"/>
  <c r="B54" i="8"/>
  <c r="B126" i="8"/>
  <c r="B89" i="11"/>
  <c r="B113" i="8"/>
  <c r="F54" i="8"/>
  <c r="F56" i="8"/>
  <c r="B55" i="8"/>
  <c r="B91" i="11"/>
  <c r="B88" i="11"/>
  <c r="D124" i="8"/>
  <c r="B135" i="8"/>
  <c r="B86" i="11"/>
  <c r="B57" i="8"/>
  <c r="B122" i="8"/>
  <c r="B134" i="8"/>
  <c r="D57" i="8"/>
  <c r="G64" i="8"/>
  <c r="B87" i="11"/>
  <c r="B131" i="8"/>
  <c r="B56" i="8"/>
  <c r="B127" i="8"/>
  <c r="G68" i="8"/>
  <c r="D113" i="8"/>
  <c r="G66" i="8"/>
  <c r="B119" i="8"/>
  <c r="B123" i="8"/>
  <c r="B139" i="8"/>
  <c r="B136" i="8"/>
  <c r="B114" i="8"/>
  <c r="B117" i="8"/>
  <c r="D136" i="8"/>
  <c r="G61" i="8"/>
  <c r="B82" i="11"/>
  <c r="L58" i="2"/>
  <c r="K59" i="2"/>
  <c r="M58" i="2"/>
  <c r="M59" i="2"/>
  <c r="L57" i="2"/>
  <c r="L59" i="2" s="1"/>
  <c r="D10" i="11"/>
  <c r="D7" i="11"/>
  <c r="D8" i="11"/>
  <c r="D10" i="8"/>
  <c r="D7" i="8"/>
  <c r="AA57" i="2"/>
  <c r="AA51" i="2"/>
  <c r="AC51" i="2"/>
  <c r="K85" i="11" l="1"/>
  <c r="K86" i="11"/>
  <c r="K112" i="8"/>
  <c r="K114" i="8"/>
  <c r="K88" i="11"/>
  <c r="D19" i="8"/>
  <c r="D19" i="11" s="1"/>
  <c r="D112" i="8"/>
  <c r="D116" i="8"/>
  <c r="H113" i="8"/>
  <c r="D119" i="8"/>
  <c r="D69" i="8"/>
  <c r="D55" i="8"/>
  <c r="D131" i="8" s="1"/>
  <c r="D54" i="8"/>
  <c r="D71" i="8"/>
  <c r="D11" i="11"/>
  <c r="D12" i="11" s="1"/>
  <c r="D11" i="8"/>
  <c r="D12" i="8" s="1"/>
  <c r="AD51" i="2"/>
  <c r="AE52" i="2" s="1"/>
  <c r="D122" i="8" l="1"/>
  <c r="D123" i="8" s="1"/>
  <c r="D125" i="8" s="1"/>
  <c r="D133" i="8"/>
  <c r="D56" i="8"/>
  <c r="D132" i="8" s="1"/>
  <c r="D138" i="8"/>
  <c r="D69" i="11"/>
  <c r="D71" i="11" s="1"/>
  <c r="F64" i="11"/>
  <c r="F66" i="11" s="1"/>
  <c r="F69" i="11"/>
  <c r="F71" i="11" s="1"/>
  <c r="D64" i="11"/>
  <c r="AE57" i="2"/>
  <c r="AE50" i="2"/>
  <c r="AE51" i="2"/>
  <c r="AE53" i="2"/>
  <c r="AE54" i="2"/>
  <c r="AE55" i="2"/>
  <c r="AE56" i="2"/>
  <c r="D134" i="8" l="1"/>
  <c r="D83" i="11"/>
  <c r="D86" i="11" s="1"/>
  <c r="D87" i="11" s="1"/>
  <c r="D89" i="11" s="1"/>
  <c r="F58" i="8"/>
  <c r="D127" i="8"/>
  <c r="D88" i="8"/>
  <c r="D83" i="8"/>
  <c r="D66" i="11"/>
  <c r="J113" i="8"/>
  <c r="D13" i="8" l="1"/>
  <c r="B92" i="11"/>
  <c r="D128" i="8"/>
  <c r="B128" i="8"/>
  <c r="J115" i="8"/>
  <c r="K113" i="8" l="1"/>
  <c r="K115" i="8" s="1"/>
  <c r="K116" i="8" s="1"/>
  <c r="K87" i="11"/>
  <c r="K89" i="11" s="1"/>
  <c r="K90" i="11" s="1"/>
  <c r="D135" i="8"/>
  <c r="D137" i="8" s="1"/>
  <c r="D139" i="8" s="1"/>
  <c r="D70" i="8" s="1"/>
  <c r="D140" i="8" l="1"/>
  <c r="B140" i="8"/>
  <c r="D85" i="8"/>
  <c r="D20" i="8"/>
  <c r="D89" i="8"/>
  <c r="D21" i="8" l="1"/>
  <c r="H115" i="8"/>
  <c r="D90" i="8"/>
  <c r="D107" i="8" l="1"/>
  <c r="H117" i="8"/>
  <c r="H116" i="8" s="1"/>
  <c r="I115" i="8"/>
  <c r="I117" i="8" l="1"/>
  <c r="J117" i="8" s="1"/>
  <c r="J116" i="8" s="1"/>
  <c r="I116" i="8" l="1"/>
  <c r="D26" i="11"/>
  <c r="D24" i="8"/>
  <c r="D28" i="8" l="1"/>
  <c r="D28" i="11" s="1"/>
  <c r="G28" i="8"/>
  <c r="D27" i="8"/>
  <c r="D24" i="11"/>
  <c r="F24" i="11" s="1"/>
  <c r="D91" i="11" s="1"/>
  <c r="D92" i="11" s="1"/>
  <c r="D29" i="8" l="1"/>
  <c r="G30" i="8" s="1"/>
  <c r="D27" i="11"/>
  <c r="D29" i="11"/>
  <c r="B30" i="8" l="1"/>
  <c r="G29" i="8"/>
  <c r="B34" i="8"/>
  <c r="D30" i="8"/>
  <c r="D31" i="8" s="1"/>
  <c r="D32" i="8" s="1"/>
  <c r="B30" i="11"/>
  <c r="D30" i="11"/>
  <c r="F28" i="11"/>
  <c r="F29" i="11" s="1"/>
  <c r="H28" i="11"/>
  <c r="F27" i="11"/>
  <c r="G31" i="8" l="1"/>
  <c r="F30" i="11"/>
  <c r="H29" i="11"/>
  <c r="G32" i="8"/>
  <c r="G33" i="8"/>
  <c r="D33" i="8"/>
  <c r="D33" i="11" s="1"/>
  <c r="G34" i="8"/>
  <c r="D34" i="8"/>
  <c r="D41" i="8"/>
  <c r="B34" i="11"/>
  <c r="H30" i="11"/>
  <c r="D41" i="11" l="1"/>
  <c r="D36" i="8"/>
  <c r="G41" i="8"/>
  <c r="D40" i="8"/>
  <c r="D34" i="11"/>
  <c r="D40" i="11" s="1"/>
  <c r="G40" i="8" l="1"/>
  <c r="G42" i="8"/>
  <c r="D42" i="8"/>
  <c r="D44" i="8"/>
  <c r="D43" i="8"/>
  <c r="G44" i="8"/>
  <c r="D45" i="8" l="1"/>
  <c r="D46" i="8" l="1"/>
  <c r="D47" i="8" s="1"/>
  <c r="D48" i="8" s="1"/>
  <c r="G49" i="8" s="1"/>
  <c r="D86" i="8"/>
  <c r="D87" i="8" s="1"/>
  <c r="G46" i="8"/>
  <c r="G45" i="8"/>
  <c r="G50" i="8" l="1"/>
  <c r="D50" i="8"/>
  <c r="D52" i="8"/>
  <c r="D75" i="8"/>
  <c r="D78" i="8" s="1"/>
  <c r="D49" i="8"/>
  <c r="D74" i="8" s="1"/>
  <c r="D81" i="8" s="1"/>
  <c r="G48" i="8"/>
  <c r="D80" i="8" l="1"/>
  <c r="D108" i="8"/>
  <c r="D79" i="8"/>
  <c r="D109" i="8"/>
  <c r="I89" i="11" l="1"/>
  <c r="H89" i="11"/>
  <c r="J87" i="11"/>
  <c r="J89" i="11" s="1"/>
  <c r="H91" i="11" l="1"/>
  <c r="H90" i="11" s="1"/>
  <c r="I91" i="11"/>
  <c r="J91" i="11" s="1"/>
  <c r="J90" i="11" s="1"/>
  <c r="D13" i="11"/>
  <c r="I90" i="11" l="1"/>
  <c r="F20" i="11"/>
  <c r="D20" i="11"/>
  <c r="D21" i="11" l="1"/>
  <c r="D36" i="11" s="1"/>
  <c r="D31" i="11"/>
  <c r="D32" i="11" s="1"/>
  <c r="F31" i="11"/>
  <c r="H31" i="11"/>
  <c r="F21" i="11"/>
  <c r="H33" i="11" l="1"/>
  <c r="H32" i="11"/>
  <c r="H34" i="11"/>
  <c r="F32" i="11"/>
  <c r="D42" i="11"/>
  <c r="D44" i="11"/>
  <c r="D43" i="11"/>
  <c r="D45" i="11" l="1"/>
  <c r="D46" i="11" s="1"/>
  <c r="D47" i="11" s="1"/>
  <c r="D48" i="11" s="1"/>
  <c r="D49" i="11" s="1"/>
  <c r="D55" i="11" s="1"/>
  <c r="D62" i="11" s="1"/>
  <c r="D67" i="11"/>
  <c r="D68" i="11" s="1"/>
  <c r="D50" i="11" l="1"/>
  <c r="D56" i="11" s="1"/>
  <c r="F25" i="11"/>
  <c r="D52" i="11"/>
  <c r="F33" i="11" s="1"/>
  <c r="F34" i="11" l="1"/>
  <c r="F36" i="11"/>
  <c r="G25" i="11"/>
  <c r="D59" i="11"/>
  <c r="D60" i="11" s="1"/>
  <c r="D61" i="11"/>
  <c r="F44" i="11" l="1"/>
  <c r="H44" i="11" s="1"/>
  <c r="F37" i="11"/>
  <c r="H37" i="11" s="1"/>
  <c r="F43" i="11"/>
  <c r="F38" i="11" l="1"/>
  <c r="F39" i="11" s="1"/>
  <c r="H38" i="11" l="1"/>
  <c r="H40" i="11"/>
  <c r="H39" i="11"/>
  <c r="F40" i="11"/>
  <c r="F41" i="11"/>
  <c r="F42" i="11" l="1"/>
  <c r="F45" i="11" s="1"/>
  <c r="H42" i="11"/>
  <c r="H41" i="11"/>
  <c r="G36" i="11"/>
  <c r="G39" i="11"/>
  <c r="G40" i="11"/>
  <c r="G41" i="11"/>
  <c r="F67" i="11" l="1"/>
  <c r="F68" i="11" s="1"/>
  <c r="H45" i="11"/>
  <c r="F46" i="11"/>
  <c r="F47" i="11" l="1"/>
  <c r="F48" i="11" s="1"/>
  <c r="H46" i="11"/>
  <c r="F49" i="11" l="1"/>
  <c r="F55" i="11" s="1"/>
  <c r="F62" i="11" s="1"/>
  <c r="F52" i="11"/>
  <c r="F50" i="11"/>
  <c r="F56" i="11" s="1"/>
  <c r="H48" i="11"/>
  <c r="H50" i="11"/>
  <c r="H49" i="11"/>
  <c r="F59" i="11"/>
  <c r="F60" i="11" s="1"/>
  <c r="F61"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B58" authorId="0" shapeId="0" xr:uid="{A7EB4343-6D63-4BD2-A050-B9B05D92B0BC}">
      <text>
        <r>
          <rPr>
            <b/>
            <sz val="9"/>
            <color indexed="81"/>
            <rFont val="Tahoma"/>
            <family val="2"/>
          </rPr>
          <t>Tracy Willis:</t>
        </r>
        <r>
          <rPr>
            <sz val="9"/>
            <color indexed="81"/>
            <rFont val="Tahoma"/>
            <family val="2"/>
          </rPr>
          <t xml:space="preserve">
Must total number of units in cell E55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Kevin Tatreau</author>
  </authors>
  <commentList>
    <comment ref="C2" authorId="0" shapeId="0" xr:uid="{6450CC0F-8FD4-47AC-B403-022E8D725F9C}">
      <text>
        <r>
          <rPr>
            <b/>
            <sz val="9"/>
            <color indexed="81"/>
            <rFont val="Tahoma"/>
            <family val="2"/>
          </rPr>
          <t>Tracy Willis:</t>
        </r>
        <r>
          <rPr>
            <sz val="9"/>
            <color indexed="81"/>
            <rFont val="Tahoma"/>
            <family val="2"/>
          </rPr>
          <t xml:space="preserve">
Add a Space in each blank cell so they format correctly on the RFA tab</t>
        </r>
      </text>
    </comment>
    <comment ref="O3" authorId="0" shapeId="0" xr:uid="{D5523457-BD5B-414D-8351-889F472D4073}">
      <text>
        <r>
          <rPr>
            <b/>
            <sz val="9"/>
            <color indexed="81"/>
            <rFont val="Tahoma"/>
            <family val="2"/>
          </rPr>
          <t>Tracy Willis:</t>
        </r>
        <r>
          <rPr>
            <sz val="9"/>
            <color indexed="81"/>
            <rFont val="Tahoma"/>
            <family val="2"/>
          </rPr>
          <t xml:space="preserve">
If there is an automatic boost you must include (Automatic Boost) after the boost type. See cell G41 on RFA tab for examples.</t>
        </r>
      </text>
    </comment>
    <comment ref="AC3" authorId="0" shapeId="0" xr:uid="{C4A4EEB6-ED84-41F7-B077-0B8A9A21C1B1}">
      <text>
        <r>
          <rPr>
            <b/>
            <sz val="9"/>
            <color indexed="81"/>
            <rFont val="Tahoma"/>
            <family val="2"/>
          </rPr>
          <t>Tracy Willis:</t>
        </r>
        <r>
          <rPr>
            <sz val="9"/>
            <color indexed="81"/>
            <rFont val="Tahoma"/>
            <family val="2"/>
          </rPr>
          <t xml:space="preserve">
Miami Dade Geo so all SF</t>
        </r>
      </text>
    </comment>
    <comment ref="AI3" authorId="0" shapeId="0" xr:uid="{97B98940-07FC-4869-B474-BA75A4FBA70A}">
      <text>
        <r>
          <rPr>
            <b/>
            <sz val="9"/>
            <color indexed="81"/>
            <rFont val="Tahoma"/>
            <family val="2"/>
          </rPr>
          <t>Tracy Willis:</t>
        </r>
        <r>
          <rPr>
            <sz val="9"/>
            <color indexed="81"/>
            <rFont val="Tahoma"/>
            <family val="2"/>
          </rPr>
          <t xml:space="preserve">
Monroe County Only</t>
        </r>
      </text>
    </comment>
    <comment ref="O11" authorId="0" shapeId="0" xr:uid="{BCD1A9C3-2E0B-43A8-BBE0-AE790204878B}">
      <text>
        <r>
          <rPr>
            <b/>
            <sz val="9"/>
            <color indexed="81"/>
            <rFont val="Tahoma"/>
            <family val="2"/>
          </rPr>
          <t>Tracy Willis:</t>
        </r>
        <r>
          <rPr>
            <sz val="9"/>
            <color indexed="81"/>
            <rFont val="Tahoma"/>
            <family val="2"/>
          </rPr>
          <t xml:space="preserve">
If there is an automatic multiplier you must include for certain RFA's. See cell G45 on RFA tab for examples of wording.</t>
        </r>
      </text>
    </comment>
    <comment ref="EG18" authorId="0" shapeId="0" xr:uid="{8C9EFD7B-C0F0-4502-A388-719724EC623A}">
      <text>
        <r>
          <rPr>
            <b/>
            <sz val="9"/>
            <color indexed="81"/>
            <rFont val="Tahoma"/>
            <family val="2"/>
          </rPr>
          <t>Tracy Willis:</t>
        </r>
        <r>
          <rPr>
            <sz val="9"/>
            <color indexed="81"/>
            <rFont val="Tahoma"/>
            <family val="2"/>
          </rPr>
          <t xml:space="preserve">
Note: Add-Ons are additional per unit costs will be added to the above Maximum TDC Per Unit </t>
        </r>
      </text>
    </comment>
    <comment ref="EG19" authorId="0" shapeId="0" xr:uid="{1DE3ED0D-2283-43C8-8099-96693B1345F9}">
      <text>
        <r>
          <rPr>
            <b/>
            <sz val="9"/>
            <color indexed="81"/>
            <rFont val="Tahoma"/>
            <family val="2"/>
          </rPr>
          <t>Tracy Willis:</t>
        </r>
        <r>
          <rPr>
            <sz val="9"/>
            <color indexed="81"/>
            <rFont val="Tahoma"/>
            <family val="2"/>
          </rPr>
          <t xml:space="preserve">
PHA Add-On for means (i) Applicants that either have a land lease with a PHA for the proposed Development’s location or the Applicant provided an Option to Enter into a Ground Lease Agreement on property where the proposed Development is to be located; AND the property which has a Declaration of Trust between the PHA and HUD; or (ii) Applicants that have a PHA/instrumentality of a PHA as a Principal</t>
        </r>
      </text>
    </comment>
    <comment ref="EG20" authorId="0" shapeId="0" xr:uid="{8701C15F-41FB-4370-BEEA-21DD72F416C5}">
      <text>
        <r>
          <rPr>
            <b/>
            <sz val="9"/>
            <color indexed="81"/>
            <rFont val="Tahoma"/>
            <family val="2"/>
          </rPr>
          <t>Tracy Willis:</t>
        </r>
        <r>
          <rPr>
            <sz val="9"/>
            <color indexed="81"/>
            <rFont val="Tahoma"/>
            <family val="2"/>
          </rPr>
          <t xml:space="preserve">
TDC Add-on for All Applicants due to known expenses related to tax-exempt bond transactions</t>
        </r>
      </text>
    </comment>
    <comment ref="EG31" authorId="0" shapeId="0" xr:uid="{AEE3D877-AA24-4094-9B6A-FE17926E8FE9}">
      <text>
        <r>
          <rPr>
            <b/>
            <sz val="9"/>
            <color indexed="81"/>
            <rFont val="Tahoma"/>
            <family val="2"/>
          </rPr>
          <t>Tracy Willis:</t>
        </r>
        <r>
          <rPr>
            <sz val="9"/>
            <color indexed="81"/>
            <rFont val="Tahoma"/>
            <family val="2"/>
          </rPr>
          <t xml:space="preserve">
*If the proposed Development consists of Scattered Sites, the 50% TDC Multiplier applies only if all the sites are located south of Tavernier Creek.</t>
        </r>
      </text>
    </comment>
    <comment ref="AC38" authorId="0" shapeId="0" xr:uid="{2A5A6B51-77DE-4633-A3F6-864766248C01}">
      <text>
        <r>
          <rPr>
            <b/>
            <sz val="9"/>
            <color indexed="81"/>
            <rFont val="Tahoma"/>
            <family val="2"/>
          </rPr>
          <t>Tracy Willis:</t>
        </r>
        <r>
          <rPr>
            <sz val="9"/>
            <color indexed="81"/>
            <rFont val="Tahoma"/>
            <family val="2"/>
          </rPr>
          <t xml:space="preserve">
Miami-Dade (BMP)</t>
        </r>
      </text>
    </comment>
    <comment ref="A86" authorId="1" shapeId="0" xr:uid="{E2296CDA-EF4C-4453-ABB9-28CAA90FBEE9}">
      <text>
        <r>
          <rPr>
            <b/>
            <sz val="9"/>
            <color indexed="81"/>
            <rFont val="Tahoma"/>
            <family val="2"/>
          </rPr>
          <t>Kevin Tatreau:</t>
        </r>
        <r>
          <rPr>
            <sz val="9"/>
            <color indexed="81"/>
            <rFont val="Tahoma"/>
            <family val="2"/>
          </rPr>
          <t xml:space="preserve">
This is the start of a summary message above the summary tabe at the bottom of the 'RFA' tab. To use, it would need to complete all detailed programming for the Multipliers.</t>
        </r>
      </text>
    </comment>
    <comment ref="AA139" authorId="1" shapeId="0" xr:uid="{32FB6940-F7C5-4688-92C4-5697AE140CEA}">
      <text>
        <r>
          <rPr>
            <b/>
            <sz val="9"/>
            <color indexed="81"/>
            <rFont val="Tahoma"/>
            <family val="2"/>
          </rPr>
          <t>Kevin Tatreau:</t>
        </r>
        <r>
          <rPr>
            <sz val="9"/>
            <color indexed="81"/>
            <rFont val="Tahoma"/>
            <family val="2"/>
          </rPr>
          <t xml:space="preserve">
This is the start of a summary message above the summary tabe at the bottom of the 'RFA' tab. To use, it would need to complete all detailed programming for the Multipliers.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L. Tatreau</author>
    <author>Tracy Willis</author>
    <author>Kevin Tatreau</author>
  </authors>
  <commentList>
    <comment ref="D9" authorId="0" shapeId="0" xr:uid="{F211DC79-E3AE-4E91-B95B-901B3AAC8B9C}">
      <text>
        <r>
          <rPr>
            <b/>
            <sz val="9"/>
            <color indexed="81"/>
            <rFont val="Tahoma"/>
            <family val="2"/>
          </rPr>
          <t>Kevin L. Tatreau:</t>
        </r>
        <r>
          <rPr>
            <sz val="9"/>
            <color indexed="81"/>
            <rFont val="Tahoma"/>
            <family val="2"/>
          </rPr>
          <t xml:space="preserve">
Select the percent Developer Fee from the drop-down menu.</t>
        </r>
      </text>
    </comment>
    <comment ref="D58" authorId="1" shapeId="0" xr:uid="{FFB2EB99-540E-48A4-8289-CE6F67AD2ED8}">
      <text>
        <r>
          <rPr>
            <b/>
            <sz val="9"/>
            <color indexed="81"/>
            <rFont val="Tahoma"/>
            <family val="2"/>
          </rPr>
          <t>Tracy Willis:</t>
        </r>
        <r>
          <rPr>
            <sz val="9"/>
            <color indexed="81"/>
            <rFont val="Tahoma"/>
            <family val="2"/>
          </rPr>
          <t xml:space="preserve">
Actual Total Development Costs inlcusive of the Developer Fee that is a portion of this TDC.  Do not net out any costs for this cell entry.</t>
        </r>
      </text>
    </comment>
    <comment ref="D61" authorId="2" shapeId="0" xr:uid="{9AE488D4-8267-48AC-B010-88B4DFCB7DB4}">
      <text>
        <r>
          <rPr>
            <b/>
            <sz val="9"/>
            <color indexed="81"/>
            <rFont val="Tahoma"/>
            <family val="2"/>
          </rPr>
          <t>Kevin Tatreau:</t>
        </r>
        <r>
          <rPr>
            <sz val="9"/>
            <color indexed="81"/>
            <rFont val="Tahoma"/>
            <family val="2"/>
          </rPr>
          <t xml:space="preserve">
For TDC PU Limit purposes only, do not include any soft costs associated with Building Acquisition. Also, do not include any Reserves acquired as part of the Acquisition Costs. Costs entered here will earn a Developer Fee for TDC PU Limit purposes and is a cost not covered withing the Appraisal limits.</t>
        </r>
      </text>
    </comment>
    <comment ref="D62" authorId="1" shapeId="0" xr:uid="{E57EED3E-AABF-49E6-ABE4-9666A245F7A0}">
      <text>
        <r>
          <rPr>
            <b/>
            <sz val="9"/>
            <color indexed="81"/>
            <rFont val="Tahoma"/>
            <family val="2"/>
          </rPr>
          <t>Tracy Willis:</t>
        </r>
        <r>
          <rPr>
            <sz val="9"/>
            <color indexed="81"/>
            <rFont val="Tahoma"/>
            <family val="2"/>
          </rPr>
          <t xml:space="preserve">
The generic term ODR refers to reserves associated with the Permanent Phase financing that are not included in the Developer Fee.  These are typically things like operating deficit reserve, replacement reserves, start-up/lease-up reserves, escrow accounts, working capital reserves, debt service coverage reserves, etc.
Include everything in the Reserve Accounts table in the credit underwriting report.</t>
        </r>
      </text>
    </comment>
    <comment ref="B67" authorId="2" shapeId="0" xr:uid="{599AC994-0924-45B1-B918-ADDEFC43EE41}">
      <text>
        <r>
          <rPr>
            <b/>
            <sz val="9"/>
            <color indexed="81"/>
            <rFont val="Tahoma"/>
            <family val="2"/>
          </rPr>
          <t>Tracy Willis:</t>
        </r>
        <r>
          <rPr>
            <sz val="9"/>
            <color indexed="81"/>
            <rFont val="Tahoma"/>
            <family val="2"/>
          </rPr>
          <t xml:space="preserve">
This line is meant to be a catch-all input cell that can accommodate various intentions. (a) the reduction of costs not identified above that are allowed to further reduce actual TDC prior to testing; or (b) the addition of costs not allowed in actual TDC, but should be for TDC PU Limitation testing purposes.</t>
        </r>
      </text>
    </comment>
    <comment ref="B68" authorId="2" shapeId="0" xr:uid="{0F079611-E7D6-4DC5-A6B9-972FBBE7E331}">
      <text>
        <r>
          <rPr>
            <b/>
            <sz val="9"/>
            <color indexed="81"/>
            <rFont val="Tahoma"/>
            <family val="2"/>
          </rPr>
          <t>Kevin Tatreau:</t>
        </r>
        <r>
          <rPr>
            <sz val="9"/>
            <color indexed="81"/>
            <rFont val="Tahoma"/>
            <family val="2"/>
          </rPr>
          <t xml:space="preserve">
If adding a cost not in TDC (cell D23), the new cost would NOT be able to earn a developer fee.  If a cost that is being deducted from TDC for testing purposes, it would be eligible to earn a developer fee if it is a Development Cost (i.e., not land, not ODR, not Developer Fee).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F22" authorId="0" shapeId="0" xr:uid="{8B6E0E24-6ACB-4950-BF90-2BD3D8906B3C}">
      <text>
        <r>
          <rPr>
            <b/>
            <sz val="9"/>
            <color indexed="81"/>
            <rFont val="Tahoma"/>
            <family val="2"/>
          </rPr>
          <t>Tracy Willis:</t>
        </r>
        <r>
          <rPr>
            <sz val="9"/>
            <color indexed="81"/>
            <rFont val="Tahoma"/>
            <family val="2"/>
          </rPr>
          <t xml:space="preserve">
Input the net amount of Hard Costs that has changed since the CUR. It is assumed that all of this amount is eligible to earn a Developer Fee for the developer fee 
analysis presented below.</t>
        </r>
      </text>
    </comment>
    <comment ref="F23" authorId="0" shapeId="0" xr:uid="{89E8E5DC-B1DE-4131-BDC8-3CC8BDAEF829}">
      <text>
        <r>
          <rPr>
            <b/>
            <sz val="9"/>
            <color indexed="81"/>
            <rFont val="Tahoma"/>
            <family val="2"/>
          </rPr>
          <t>Tracy Willis:</t>
        </r>
        <r>
          <rPr>
            <sz val="9"/>
            <color indexed="81"/>
            <rFont val="Tahoma"/>
            <family val="2"/>
          </rPr>
          <t xml:space="preserve">
Input the net amount of Soft Costs that has changed since the CUR. It is assumed that all of this amount is eligible to earn a Developer Fee for the developer fee 
analysis presented below.</t>
        </r>
      </text>
    </comment>
  </commentList>
</comments>
</file>

<file path=xl/sharedStrings.xml><?xml version="1.0" encoding="utf-8"?>
<sst xmlns="http://schemas.openxmlformats.org/spreadsheetml/2006/main" count="4401" uniqueCount="467">
  <si>
    <t>What year was the RFA issued?</t>
  </si>
  <si>
    <t>&lt;select from menu&gt;</t>
  </si>
  <si>
    <t xml:space="preserve"> </t>
  </si>
  <si>
    <t>Tax-Exempt Bonds Boost</t>
  </si>
  <si>
    <t>Questions below will ask to identify certain criteria.  This can be done by entering a "1" in the cell to the left of the appropriate criteria.</t>
  </si>
  <si>
    <t>PSN Demographic multiplier</t>
  </si>
  <si>
    <t>South Florida Keys Area</t>
  </si>
  <si>
    <t>Elderly ALF Demographic</t>
  </si>
  <si>
    <t>NC Units</t>
  </si>
  <si>
    <t>Rehab Units</t>
  </si>
  <si>
    <t>Total Units</t>
  </si>
  <si>
    <t>Identify the Development</t>
  </si>
  <si>
    <t>Application #</t>
  </si>
  <si>
    <t>Name</t>
  </si>
  <si>
    <t>County</t>
  </si>
  <si>
    <t>Alachua</t>
  </si>
  <si>
    <t>Baker</t>
  </si>
  <si>
    <t>Bay</t>
  </si>
  <si>
    <t>Bradford</t>
  </si>
  <si>
    <t>Brevard</t>
  </si>
  <si>
    <t>Broward</t>
  </si>
  <si>
    <t>Calhoun</t>
  </si>
  <si>
    <t>Charlotte</t>
  </si>
  <si>
    <t>Citrus</t>
  </si>
  <si>
    <t>Clay</t>
  </si>
  <si>
    <t>Collier</t>
  </si>
  <si>
    <t>Columbia</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</si>
  <si>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</si>
  <si>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</si>
  <si>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</si>
  <si>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</si>
  <si>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</si>
  <si>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</si>
  <si>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</si>
  <si>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</si>
  <si>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</si>
  <si>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</si>
  <si>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</si>
  <si>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</si>
  <si>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</si>
  <si>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</si>
  <si>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</si>
  <si>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</si>
  <si>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</si>
  <si>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</si>
  <si>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</si>
  <si>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</si>
  <si>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</si>
  <si>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</si>
  <si>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</si>
  <si>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</si>
  <si>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</si>
  <si>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</si>
  <si>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</si>
  <si>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</si>
  <si>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</si>
  <si>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</si>
  <si>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</si>
  <si>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Monroe</t>
  </si>
  <si>
    <t>Nassau</t>
  </si>
  <si>
    <t>Okaloosa</t>
  </si>
  <si>
    <t>Okeechobee</t>
  </si>
  <si>
    <t>Orange</t>
  </si>
  <si>
    <t>Osceola</t>
  </si>
  <si>
    <t>Palm Beach</t>
  </si>
  <si>
    <t>Pasco</t>
  </si>
  <si>
    <t>Pinellas</t>
  </si>
  <si>
    <t>Polk</t>
  </si>
  <si>
    <t>Putnam</t>
  </si>
  <si>
    <t>Saint Johns</t>
  </si>
  <si>
    <t>Saint Lucie</t>
  </si>
  <si>
    <t>Santa Rosa</t>
  </si>
  <si>
    <t>Sarasota</t>
  </si>
  <si>
    <t>Seminole</t>
  </si>
  <si>
    <t>Sumter</t>
  </si>
  <si>
    <t>Suwannee</t>
  </si>
  <si>
    <t>Taylor</t>
  </si>
  <si>
    <t>Union</t>
  </si>
  <si>
    <t>Volusia</t>
  </si>
  <si>
    <t>Wakulla</t>
  </si>
  <si>
    <t>Walton</t>
  </si>
  <si>
    <t>Washington</t>
  </si>
  <si>
    <t>Yes</t>
  </si>
  <si>
    <t>No</t>
  </si>
  <si>
    <t>High-Rise (NC)</t>
  </si>
  <si>
    <t>Garden (Rehab)</t>
  </si>
  <si>
    <t>Non-Garden (Rehab)</t>
  </si>
  <si>
    <t>Types</t>
  </si>
  <si>
    <t>Base01</t>
  </si>
  <si>
    <t>AddOns</t>
  </si>
  <si>
    <t>MultiplierNames</t>
  </si>
  <si>
    <t>MultiplierNumbers</t>
  </si>
  <si>
    <t>&lt;select&gt;</t>
  </si>
  <si>
    <t>Add-On</t>
  </si>
  <si>
    <t>Multiplier</t>
  </si>
  <si>
    <t>All-In Limit</t>
  </si>
  <si>
    <t>RFAs</t>
  </si>
  <si>
    <t>RFA</t>
  </si>
  <si>
    <t>Application Deadline</t>
  </si>
  <si>
    <t>AppDue</t>
  </si>
  <si>
    <t>RFA Description</t>
  </si>
  <si>
    <t>Descriptions</t>
  </si>
  <si>
    <t>No TDC Limitation in this RFA</t>
  </si>
  <si>
    <t>Housing Credit Financing for Affordable Housing Developments Located in Medium and Small Counties</t>
  </si>
  <si>
    <t>Housing Credit Financing for Affordable Housing Developments Located in Broward, Duval, Hillsborough, Orange, Palm Beach, and Pinellas Counties</t>
  </si>
  <si>
    <t>Housing Credit Financing for Affordable Housing Developments Located in Miami-Dade County</t>
  </si>
  <si>
    <t>Financing to Build Smaller Permanent Supportive Housing Properties for Persons with Developmental Disabilities</t>
  </si>
  <si>
    <t>Financing to Develop Housing for Persons with Disabling Conditions/ Developmental Disabilities</t>
  </si>
  <si>
    <t>Housing Credit and SAIL Financing for Homeless Housing Developments Located in Medium and Large Counties</t>
  </si>
  <si>
    <t>(a)</t>
  </si>
  <si>
    <t>(b)</t>
  </si>
  <si>
    <t>(d)</t>
  </si>
  <si>
    <t>(c)</t>
  </si>
  <si>
    <t>(e)</t>
  </si>
  <si>
    <t>Garden-ESSC (NC)</t>
  </si>
  <si>
    <r>
      <t xml:space="preserve">DF=Developer Fee; NC=New Construction; TDC=Total Development Cost; CUR=Credit Underwriting Report; CU=Credit Underwriter; </t>
    </r>
    <r>
      <rPr>
        <b/>
        <i/>
        <sz val="10"/>
        <color theme="1"/>
        <rFont val="Times New Roman"/>
        <family val="1"/>
      </rPr>
      <t>Cells with a yellow background are input cells. Each input cell includes a comment to assist with the input.</t>
    </r>
  </si>
  <si>
    <t>Application # of Subject Development</t>
  </si>
  <si>
    <t>Name of Subject Development</t>
  </si>
  <si>
    <t>Applicable Competitive Application</t>
  </si>
  <si>
    <t>Maximum Developer Fee (%)</t>
  </si>
  <si>
    <t>Total Number of Units</t>
  </si>
  <si>
    <t>Enter as a negative #</t>
  </si>
  <si>
    <t>Stated DF, as a percent of Stated Development Cost</t>
  </si>
  <si>
    <t>Total $ cost reduction (Total $ Development's DF and TDC adjustment)</t>
  </si>
  <si>
    <t>Total % DF reduction from Stated DF</t>
  </si>
  <si>
    <t>Development's Final DF as a % of Stated Development Cost</t>
  </si>
  <si>
    <t>Same Development w/ both TDC Limitation events</t>
  </si>
  <si>
    <t>At CUR</t>
  </si>
  <si>
    <t>At FCCA</t>
  </si>
  <si>
    <t>Enter the number of Units for the Development Type (if there are multiple development types, # of units should be entered on each line accordingly)</t>
  </si>
  <si>
    <t>Automatically Applies</t>
  </si>
  <si>
    <t>Board Approved One-Off Modification</t>
  </si>
  <si>
    <t>TDC Review</t>
  </si>
  <si>
    <t>Garden-Non ESSC (NC)</t>
  </si>
  <si>
    <t>Mid-Rise-Non ESSC (NC)</t>
  </si>
  <si>
    <t>North Florida Keys Area (or)</t>
  </si>
  <si>
    <t>Unit Values</t>
  </si>
  <si>
    <t>TDC Rank</t>
  </si>
  <si>
    <t>Rank</t>
  </si>
  <si>
    <t>Combo #</t>
  </si>
  <si>
    <t>Prorata Distribution</t>
  </si>
  <si>
    <t>of Multiple Dev Types</t>
  </si>
  <si>
    <t>Development's Final Actual Overall TDC</t>
  </si>
  <si>
    <t>AddOns2</t>
  </si>
  <si>
    <t>Except BMP</t>
  </si>
  <si>
    <t>BMP</t>
  </si>
  <si>
    <t>=IF(AND(Year&lt;&gt;Data!A2,SUM(RFA!C21:C38)=1),"This is for"&amp;RIGHT(VLOOKUP(1,RFA!Identify,2),LEN(VLOOKUP(1,RFA!Identify,2))-1)&amp;", subject to TDC PU Limitations "&amp;IF(H4=1,"of the original RFAs, ",IF(AND(H5=1,H6=0),"in effect after the 06/15/2018 Board Meeting, but prior to the 03/06/2020 Board Meeting, ",IF(AND(H5=1,H6=1),"in effect after the 03/06/2020 Board Meeting, but prior to the 07/30/2021 Board Meeting, ",IF(H7=1,"in effect after the 07/30/2021 Board Meeting, but prior to the 04/01/2022 Board Meeting, ",IF(H8=1,"in effect after the 04/01/2022 Board Meeting, ","(need to select a Board Condtion at top of page), ")))))&amp;"incorporating "&amp;IF(SUM(C41:C43)+N(G41)+N(G42)+N(G43)&gt;0,IF(OR(C41=1,N(G41)=1),D41&amp;IF(OR(C42=1,N(G42)=1),IF(C41+N(G41)&gt;0," and "&amp;D42&amp;IF(OR(C43=1,N(G43)=1),IF(C41+C42+N(G41)+N(G42)&gt;0," and "&amp;D43,"44&amp;45"),"45"),"??"),"xx"),IF(OR(C42=1,N(G42)=1),IF(C41+N(G41)&gt;0," and ","")&amp;D42&amp;IF(OR(C43=1,N(G43)=1),IF(C41+C42+N(G41)+N(G42)&gt;0," and ","")&amp;D43,""),IF(C43+N(G43)&gt;0,D43,"")))&amp;" TDC Add-On"&amp;IF(MAX(C41,N(G41))+MAX(C42,N(G42))+MAX(C43,N(G43))&gt;1,"s, ",", "),"no Add-Ons, ")&amp;IF(SUM(C46:C51)+N(G46)+N(G47)+N(G48)+N(G49)+N(G50)+N(G51)&gt;0,IF(C46+N(G46)&gt;0,"48-53",IF(C47+N(G47)&gt;0,"49-53",IF(C48+N(G48)&gt;0,"50-53",IF(C49+N(G49)&gt;0,"51-53",IF(C50+N(G50)&gt;0,"52-53","53"))))),"and no Multipliers")&amp;".","")</t>
  </si>
  <si>
    <t xml:space="preserve">  RFA 2023-102</t>
  </si>
  <si>
    <t xml:space="preserve">  RFA 2023-102SF</t>
  </si>
  <si>
    <t xml:space="preserve">  RFA 2023-103</t>
  </si>
  <si>
    <t xml:space="preserve">  RFA 2023-104</t>
  </si>
  <si>
    <t xml:space="preserve">  RFA 2023-105</t>
  </si>
  <si>
    <t xml:space="preserve">  RFA 2023-106</t>
  </si>
  <si>
    <t xml:space="preserve">  RFA 2023-201</t>
  </si>
  <si>
    <t xml:space="preserve">  RFA 2023-202</t>
  </si>
  <si>
    <t xml:space="preserve">  RFA 2023-203</t>
  </si>
  <si>
    <t xml:space="preserve">  RFA 2023-205</t>
  </si>
  <si>
    <t xml:space="preserve">  RFA 2023-104SF</t>
  </si>
  <si>
    <t xml:space="preserve">  RFA 2023-103SF</t>
  </si>
  <si>
    <t xml:space="preserve">  RFA 2023-106SF</t>
  </si>
  <si>
    <t xml:space="preserve">  RFA 2023-202SF</t>
  </si>
  <si>
    <t xml:space="preserve">  RFA 2023-205SF</t>
  </si>
  <si>
    <t>2022/2023</t>
  </si>
  <si>
    <t>RFA Issued</t>
  </si>
  <si>
    <t>SAIL and HOME-ARP Financing for Smaller Developments for Persons with Special Needs</t>
  </si>
  <si>
    <t>SAIL Funding for Farmworker and Commercial Fishing Worker Housing</t>
  </si>
  <si>
    <t xml:space="preserve">  RFA 2023-108</t>
  </si>
  <si>
    <t>Housing Credit And RRLP Financing For Homeless Housing Developments Located In Medium And Large Counties Affected By Hurricane Ian And Nicole</t>
  </si>
  <si>
    <t xml:space="preserve">  RFA 2023-304</t>
  </si>
  <si>
    <t>Rental Recovery Loan Program (RRLP) Financing to be Used for Rental Developments in Hurricane Ian and Hurricane Nicole Impacted Counties</t>
  </si>
  <si>
    <t>SAIL Financing for the Preservation of Elderly Developments</t>
  </si>
  <si>
    <t>2023/2024</t>
  </si>
  <si>
    <t xml:space="preserve">  RFA 2023-211</t>
  </si>
  <si>
    <t>Construction Inflation Response Viability Funding</t>
  </si>
  <si>
    <t>Mid-Rise-ESSC (NC)</t>
  </si>
  <si>
    <t>Non-Geographic TDC Multiplier – Elderly-ALF Developments</t>
  </si>
  <si>
    <t>Non-Geographic TDC Multiplier – Homeless Demographic</t>
  </si>
  <si>
    <t>Non-Geographic TDC Multiplier – Demographic Commitment of either Persons with a Disabling Condition or Persons with Developmental Disabilities</t>
  </si>
  <si>
    <t>Non-Geographic TDC Multiplier – All Developments that consist of 50 total units or less and not located in the Florida Keys Area (reserved for Homeless Demographic serving PDC or PDD)</t>
  </si>
  <si>
    <t>Non-Geographic TDC Multiplier – All Developments that consist of more than 50 total units, but not more than 80 total units and not located in the Florida Keys Area (reserved for Homeless Demographic serving PDC or PDD)</t>
  </si>
  <si>
    <t>Geographic TDC Multiplier – Developments located north of Plantation Key (i.e., north of Tavernier Creek) in the Florida Keys Area</t>
  </si>
  <si>
    <t>*Geographic TDC Multiplier – Developments located south of Plantation Key (i.e., north of Tavernier Creek) in the Florida Keys Area</t>
  </si>
  <si>
    <t xml:space="preserve">  RFA 2024-102</t>
  </si>
  <si>
    <t xml:space="preserve">  RFA 2024-103</t>
  </si>
  <si>
    <t xml:space="preserve">  RFA 2024-104</t>
  </si>
  <si>
    <t xml:space="preserve">  RFA 2024-105</t>
  </si>
  <si>
    <t xml:space="preserve">  RFA 2024-106</t>
  </si>
  <si>
    <t xml:space="preserve">  RFA 2024-102SF</t>
  </si>
  <si>
    <t xml:space="preserve">  RFA 2024-103SF</t>
  </si>
  <si>
    <t xml:space="preserve">  RFA 2024-104SF</t>
  </si>
  <si>
    <t xml:space="preserve">  RFA 2024-106SF</t>
  </si>
  <si>
    <t xml:space="preserve">  RFA 2023-102 - This TDC Template does not apply to this RFA</t>
  </si>
  <si>
    <t xml:space="preserve">  RFA 2023-103 - This TDC Template does not apply to this RFA</t>
  </si>
  <si>
    <t xml:space="preserve">  RFA 2023-104 - This TDC Template does not apply to this RFA</t>
  </si>
  <si>
    <t xml:space="preserve">  RFA 2023-105 - This TDC Template does not apply to this RFA</t>
  </si>
  <si>
    <t xml:space="preserve">  RFA 2023-106 - This TDC Template does not apply to this RFA</t>
  </si>
  <si>
    <t xml:space="preserve">  RFA 2023-108 - This TDC Template does not apply to this RFA</t>
  </si>
  <si>
    <t xml:space="preserve">  RFA 2023-211 - This TDC Template does not apply to this RFA</t>
  </si>
  <si>
    <t xml:space="preserve">  RFA 2023-304 - This TDC Template does not apply to this RFA</t>
  </si>
  <si>
    <t>(This TDC Template applies to all RFA's beginning with the 2023/2024 RFA Cycle)</t>
  </si>
  <si>
    <t>PHA Boost</t>
  </si>
  <si>
    <t>Hard Cost Per Unit Factor:</t>
  </si>
  <si>
    <t>RFA Cycle</t>
  </si>
  <si>
    <t>Counties</t>
  </si>
  <si>
    <t>PHA Add-On</t>
  </si>
  <si>
    <t>Tax Exempt Bonds Add-On</t>
  </si>
  <si>
    <t>Available TDC Add-Ons</t>
  </si>
  <si>
    <t>Available TDC Multipliers</t>
  </si>
  <si>
    <t>Total Maximum Developer Fee</t>
  </si>
  <si>
    <t>ODR % (Default = 5%) for 21% DF developments - manually override if underwriter requires different amount.</t>
  </si>
  <si>
    <t>Escalation Factor</t>
  </si>
  <si>
    <t>**Yellow means RFA not issued yet - info taken from past year(s) - need to verify info</t>
  </si>
  <si>
    <t>% of Maximum Developer Fee Reduction</t>
  </si>
  <si>
    <t>Exhibit C.1.b.(1)</t>
  </si>
  <si>
    <t>Exhibit C.1.b.(2)</t>
  </si>
  <si>
    <t>Development's Final Actual Overall Developer Fee</t>
  </si>
  <si>
    <t>Need to hide or delete eventually</t>
  </si>
  <si>
    <t>Need to hide or delete eventually?</t>
  </si>
  <si>
    <t>Hard Cost Factor Per Unit</t>
  </si>
  <si>
    <t>Maximum Non-Acquisition Dev Costs for Developer Fee</t>
  </si>
  <si>
    <t>Lesser of Maximum or Applicant's Stated Building Allocation</t>
  </si>
  <si>
    <t>Maximum Non-Acquisition Dev Costs for Developer Fee PU</t>
  </si>
  <si>
    <t>Does the Development include the Acquisition of a Building?</t>
  </si>
  <si>
    <t>Select answer from dropdown</t>
  </si>
  <si>
    <t>Exhibit C.1.a.(2)</t>
  </si>
  <si>
    <t>Less: Lowest Land Cost Allocation of the Three Land Cost Allocation Methods (Not DF Eligible)</t>
  </si>
  <si>
    <t>Less Building Allocation (DF Eligible)</t>
  </si>
  <si>
    <t>Less ODR (Not DF Eligible)</t>
  </si>
  <si>
    <t>Less Demolition Costs (if PHA and if applicable) (DF Eligible)</t>
  </si>
  <si>
    <t>Less Relocation Costs (if PHA and if applicable) (DF Eligible)</t>
  </si>
  <si>
    <t>Less Retail/Commercial Space (DF Eligible)</t>
  </si>
  <si>
    <t>Less Other Allowed Cost Deductions (or Add Other Needed Costs not yet included)</t>
  </si>
  <si>
    <t>Development's Final DF as a % of Final TDC</t>
  </si>
  <si>
    <t>Stated Development Costs (total costs eligible to earn a DF)</t>
  </si>
  <si>
    <t>Maximum of Hard &amp; Soft Costs PU</t>
  </si>
  <si>
    <t>Max Non-Acquisition Development Cost for Developer Fee</t>
  </si>
  <si>
    <t>Actual Stated Overall Total Development Costs</t>
  </si>
  <si>
    <t>Exhibit C.1.a.(3)</t>
  </si>
  <si>
    <t>Less Other Costs Associated with Building Allocation (DF Eligible)</t>
  </si>
  <si>
    <t>Stated Development Costs eligible to earn a DF</t>
  </si>
  <si>
    <t>HC Staff Use Only</t>
  </si>
  <si>
    <t>Orig. Dev Type</t>
  </si>
  <si>
    <t>New Dev Type</t>
  </si>
  <si>
    <t>Modified Mix</t>
  </si>
  <si>
    <t>Number of Units</t>
  </si>
  <si>
    <t>Stated DF within Actual Stated Overall Total Development Costs</t>
  </si>
  <si>
    <t>1st Adjustment ($ DF &amp; Net TDC Reduction): Stated DF in excess of Maximum Percentage DF</t>
  </si>
  <si>
    <t>Net TDC of the Proposed Development, after 1.b.(1) potential adjustment</t>
  </si>
  <si>
    <t>Enter as a negative # for a deduction or a positive # for an addition</t>
  </si>
  <si>
    <t>Less Construction Features Deduction costs (DF Eligible)</t>
  </si>
  <si>
    <t>Is Development's Maximum TDC Component ≥ proposed Development's Net TDC?</t>
  </si>
  <si>
    <t>Maximum $ Reduction per RFA</t>
  </si>
  <si>
    <t>Maximum Developer Fee with 2nd Adjustment</t>
  </si>
  <si>
    <r>
      <t xml:space="preserve">Is the Maximum Developer Fee from 1.b.(2) </t>
    </r>
    <r>
      <rPr>
        <u/>
        <sz val="10"/>
        <color theme="1"/>
        <rFont val="Times New Roman"/>
        <family val="1"/>
      </rPr>
      <t>&gt;</t>
    </r>
    <r>
      <rPr>
        <sz val="10"/>
        <color theme="1"/>
        <rFont val="Times New Roman"/>
        <family val="1"/>
      </rPr>
      <t xml:space="preserve"> the proposed Development's Developer Fee after 1.b.(1)?</t>
    </r>
  </si>
  <si>
    <t>If Yes, then nothing further; If No, then steps below apply</t>
  </si>
  <si>
    <t>2nd Adjustment ($ DF &amp; Net TDC Reduction): Proposed Development's Developer Fee after 1.b.(1) in excess of Maximum</t>
  </si>
  <si>
    <t>Stated DF within Actual Stated Overall Total Development Costs, after 1.b.(2) potential adjustment</t>
  </si>
  <si>
    <t>Actual Stated Overall Total Development Costs, after 1.b.(2) potential adjustment</t>
  </si>
  <si>
    <t>Development's Maximum TDC Component</t>
  </si>
  <si>
    <t>Adjustment to Maximum Developer Fee (lesser of above 3 options)</t>
  </si>
  <si>
    <t>Enter the FCCA Stated DF</t>
  </si>
  <si>
    <t xml:space="preserve">  RFA 2023-204 </t>
  </si>
  <si>
    <t xml:space="preserve">  RFA 2023-212</t>
  </si>
  <si>
    <t xml:space="preserve">  RFA 2023-213</t>
  </si>
  <si>
    <t>Housing Credit Viability Funding for Developments located in Monroe County that have an Active Award of SAIL Financing and 9% Housing Credits</t>
  </si>
  <si>
    <t>SAIL Funding for Live Local Mixed Income, Mixed-Use, and Urban Infill Developments</t>
  </si>
  <si>
    <t>SAIL Financing of Affordable Multifamily Housing Developments to be used in Conjunction with Tax-Exempt Bond Financing and Non-Competitive Housing Credits</t>
  </si>
  <si>
    <t xml:space="preserve">  RFA 2023-204</t>
  </si>
  <si>
    <t xml:space="preserve">  RFA 2023-204SF</t>
  </si>
  <si>
    <t>**ALL RFA YYYY-NNN headers must have 2 spaces in front of the R.</t>
  </si>
  <si>
    <t>PDC/PDD Demographic multiplier</t>
  </si>
  <si>
    <t>9%, NC, =&lt;50 Units, not in Keys (or)</t>
  </si>
  <si>
    <t>9%, NC, 51-80 Units, not in Keys</t>
  </si>
  <si>
    <t>Homeless Demographic (or)</t>
  </si>
  <si>
    <t xml:space="preserve">  RFA 2023-213SF</t>
  </si>
  <si>
    <t>(f)</t>
  </si>
  <si>
    <t>Net TDC of the Proposed Development, after 1.b.(2) potential adjustment, inclusive of Developer Fee</t>
  </si>
  <si>
    <t>Was the Developer fee reduced at CUR (by the process in b.(2))</t>
  </si>
  <si>
    <r>
      <t>Development's Maximu</t>
    </r>
    <r>
      <rPr>
        <b/>
        <sz val="10"/>
        <rFont val="Times New Roman"/>
        <family val="1"/>
      </rPr>
      <t>m TDC Component</t>
    </r>
  </si>
  <si>
    <t>Actual Amount Net TDC exceeds Maximum TDC Component</t>
  </si>
  <si>
    <t>Exhibit C.1.b.(2)(a)</t>
  </si>
  <si>
    <t>Exhibit C.1.b.(2)(b)</t>
  </si>
  <si>
    <t xml:space="preserve">Exhibit C.1.b.(2)(c) </t>
  </si>
  <si>
    <t>Exhibit C.1.c.(1)</t>
  </si>
  <si>
    <t>Adjusted Stated Overall Total Development Costs</t>
  </si>
  <si>
    <t>Initial Net Stated TDC of Proposed Development, inclusive of Developer Fee</t>
  </si>
  <si>
    <t>Net TDC preliminarily stated after tested for DF compliance with the maximum DF percentage requirement</t>
  </si>
  <si>
    <t xml:space="preserve">Maximum Developer Fee Amount on Non-Acquisition Costs </t>
  </si>
  <si>
    <t xml:space="preserve">Maximum Developer Fee Amount on Building Allocation Costs </t>
  </si>
  <si>
    <t>Approved changes since CUR to Other Building Acquisition Related Costs</t>
  </si>
  <si>
    <t>Exhibit C.1.c.(2)(i)</t>
  </si>
  <si>
    <t>Exhibit C.1.c.(2)(ii)</t>
  </si>
  <si>
    <t>Exhibit C.1.c.(2)(iii)</t>
  </si>
  <si>
    <t>Exhibit C.1.c.(2)</t>
  </si>
  <si>
    <t>Is the Stated DF, after compliance with the maximum DF % requirement, greater than the Maximum DF determined in 1.b.(1)?</t>
  </si>
  <si>
    <t>Developer Fee after 1.c.(1)</t>
  </si>
  <si>
    <t>Adjustment to DF required from 1.c.(1)(d)</t>
  </si>
  <si>
    <t>Exhibit C.1.c.(1)(d)</t>
  </si>
  <si>
    <t>Net TDC of the Proposed Development, after 1.b.(1) or 1.c. potential adjustments, as applicable</t>
  </si>
  <si>
    <t>Exhibit C.1.a.(2)(b)</t>
  </si>
  <si>
    <t>Exhibit C.1.a.(2)(a)</t>
  </si>
  <si>
    <t>Exhibit C.1.a.(2)(b) &amp; (3)</t>
  </si>
  <si>
    <t>Stated DF after % Fee and Total Maximum DF requirements</t>
  </si>
  <si>
    <t>DF Adjustment where Stated DF (after % Fee test) is in excess of the Total Maximum DF in 1.a.</t>
  </si>
  <si>
    <r>
      <t xml:space="preserve">Is the Maximum Developer Fee from the last adjustment </t>
    </r>
    <r>
      <rPr>
        <u/>
        <sz val="10"/>
        <color theme="1"/>
        <rFont val="Times New Roman"/>
        <family val="1"/>
      </rPr>
      <t>&gt;</t>
    </r>
    <r>
      <rPr>
        <sz val="10"/>
        <color theme="1"/>
        <rFont val="Times New Roman"/>
        <family val="1"/>
      </rPr>
      <t xml:space="preserve"> the previously stated Developer Fee?</t>
    </r>
  </si>
  <si>
    <t xml:space="preserve">  RFA 2023-203SF</t>
  </si>
  <si>
    <t>`</t>
  </si>
  <si>
    <t xml:space="preserve">  RFA 2024-206</t>
  </si>
  <si>
    <t xml:space="preserve">  RFA 2024-214</t>
  </si>
  <si>
    <t>Peach = Actual; Blue = Draft; Yellow = TBD</t>
  </si>
  <si>
    <t xml:space="preserve">  RFA 2024-215</t>
  </si>
  <si>
    <t xml:space="preserve">  RFA 2024-216</t>
  </si>
  <si>
    <t xml:space="preserve">  RFA 2024-305</t>
  </si>
  <si>
    <t>2024/2025</t>
  </si>
  <si>
    <t>SAIL Financing Farmworker and Commercial Fishing Worker Housing</t>
  </si>
  <si>
    <t>HOME and Live Local SAIL Financing to be used for Rental Developments in Certain Hurricane Idalia Impacted Counties</t>
  </si>
  <si>
    <t>Live Local SAIL Funding to be used for Developing and Reconstructing Affordable Multifamily Housing Developments</t>
  </si>
  <si>
    <t>Live Local SAIL Financing for Developments near Military installations</t>
  </si>
  <si>
    <t>Live Local SAIL Financing for the Construction of Large-Scale Developments of Significant Regional Impact</t>
  </si>
  <si>
    <t>Community Development Block Grant — Disaster Recovery to be used in Conjunction with Tax-Exempt Bonds and Non-Competitive Housing Credits in Counties Deemed Hurricane Sally Recovery Priorities</t>
  </si>
  <si>
    <t>Confirm once issued</t>
  </si>
  <si>
    <t xml:space="preserve">  RFA 2024-306</t>
  </si>
  <si>
    <t xml:space="preserve">  RFA 2024-201</t>
  </si>
  <si>
    <t xml:space="preserve">  RFA 2024-202</t>
  </si>
  <si>
    <t xml:space="preserve">  RFA 2024-203</t>
  </si>
  <si>
    <t xml:space="preserve">  RFA 2024-204</t>
  </si>
  <si>
    <t xml:space="preserve">  RFA 2024-205</t>
  </si>
  <si>
    <t xml:space="preserve">  RFA 2024-202SF</t>
  </si>
  <si>
    <t xml:space="preserve">  RFA 2024-204SF</t>
  </si>
  <si>
    <t xml:space="preserve">  RFA 2024-205SF</t>
  </si>
  <si>
    <t xml:space="preserve">  RFA 2024-206SF</t>
  </si>
  <si>
    <t xml:space="preserve">  RFA 2024-214SF</t>
  </si>
  <si>
    <t xml:space="preserve">  RFA 2024-215SF</t>
  </si>
  <si>
    <t xml:space="preserve">  RFA 2024-216SF</t>
  </si>
  <si>
    <t xml:space="preserve">  RFA 2024-305SF</t>
  </si>
  <si>
    <t xml:space="preserve">  RFA 2024-306SF</t>
  </si>
  <si>
    <t>Non-Geographic TDC Multiplier – Any Applicant which (i) either has a land lease with a PHA for the proposed Development’s location or the Applicant provided an Option to Enter into a Ground Lease Agreement on property where the proposed Development is to be located; AND the property which has a Declaration of Trust between the PHA and HUD; or (ii) has a PHA or an instrumentality of a PHA as a Principal</t>
  </si>
  <si>
    <t>Non-Geographic TDC Multiplier – For Applications that do not qualify for the PHA Multiplier and are receiving funding from the Corporation which are directly generating expenses related to Davis-Bacon costs, if applicable</t>
  </si>
  <si>
    <t>N/A</t>
  </si>
  <si>
    <t>PHA/Davis Bacon Boost</t>
  </si>
  <si>
    <t>PHA multiplier</t>
  </si>
  <si>
    <t>Davis-Bacon multiplier</t>
  </si>
  <si>
    <t>PHA multiplier (or)</t>
  </si>
  <si>
    <t xml:space="preserve">  RFA 2024-213</t>
  </si>
  <si>
    <t xml:space="preserve">  RFA 2024-213SF</t>
  </si>
  <si>
    <t xml:space="preserve">  RFA 2025-102</t>
  </si>
  <si>
    <t xml:space="preserve">  RFA 2025-102SF</t>
  </si>
  <si>
    <t xml:space="preserve">  RFA 2025-103</t>
  </si>
  <si>
    <t xml:space="preserve">  RFA 2025-103SF</t>
  </si>
  <si>
    <t xml:space="preserve">  RFA 2025-106</t>
  </si>
  <si>
    <t xml:space="preserve">  RFA 2025-106SF</t>
  </si>
  <si>
    <t>Community Development Block Grant — Disaster Recovery to be used in Conjunction with Tax-Exempt Bonds and 4% Housing Credits in Counties Deemed Hurricane Ian Recovery Priorities</t>
  </si>
  <si>
    <t>Homeless Demographic multiplier</t>
  </si>
  <si>
    <t>SAIL Financing for Live Local Mixed Income, Mixed-Use, and Urban Infill Developments</t>
  </si>
  <si>
    <t xml:space="preserve">PHA multiplier </t>
  </si>
  <si>
    <t xml:space="preserve">  RFA 2025-206</t>
  </si>
  <si>
    <t xml:space="preserve">  RFA 2025-206SF</t>
  </si>
  <si>
    <t>HOME and Live Local SAIL Financing to be used for Rental Developments in Certain Hurricane Impacted Rural Areas of Opportunity</t>
  </si>
  <si>
    <t xml:space="preserve">  RFA 2025-104</t>
  </si>
  <si>
    <t xml:space="preserve">  RFA 2025-216</t>
  </si>
  <si>
    <t xml:space="preserve">  RFA 2025-104SF</t>
  </si>
  <si>
    <t xml:space="preserve">  RFA 2025-216SF</t>
  </si>
  <si>
    <t>Financing for the Development of Housing for Persons with a Disabling Condition or Developmental Disabilities</t>
  </si>
  <si>
    <t xml:space="preserve">  RFA 2025-108</t>
  </si>
  <si>
    <t>Housing Credit and SAIL Financing to Develop Housing for Homeless Persons</t>
  </si>
  <si>
    <t>9% Housing Credit and SAIL Financing for Homeless Housing Developments Located in Medium and Large Counties</t>
  </si>
  <si>
    <t xml:space="preserve">  RFA 2025-108SF</t>
  </si>
  <si>
    <t xml:space="preserve">  RFA 2025-201</t>
  </si>
  <si>
    <t xml:space="preserve">  RFA 2025-202</t>
  </si>
  <si>
    <t xml:space="preserve">  RFA 2025-202SF</t>
  </si>
  <si>
    <t xml:space="preserve">  RFA 2025-203</t>
  </si>
  <si>
    <t xml:space="preserve">  RFA 2025-204</t>
  </si>
  <si>
    <t xml:space="preserve">  RFA 2025-204SF</t>
  </si>
  <si>
    <t xml:space="preserve">  RFA 2025-205</t>
  </si>
  <si>
    <t xml:space="preserve">  RFA 2025-205SF</t>
  </si>
  <si>
    <t xml:space="preserve">  RFA 2025-213</t>
  </si>
  <si>
    <t xml:space="preserve">  RFA 2025-213SF</t>
  </si>
  <si>
    <t xml:space="preserve">  RFA 2025-214</t>
  </si>
  <si>
    <t xml:space="preserve">  RFA 2025-214SF</t>
  </si>
  <si>
    <t xml:space="preserve">  RFA 2025-215</t>
  </si>
  <si>
    <t xml:space="preserve">  RFA 2025-215SF</t>
  </si>
  <si>
    <t>2025/2026</t>
  </si>
  <si>
    <t>Housing Credit Financing for Affordable Housing Developments Located in Small and Medium Counties</t>
  </si>
  <si>
    <t>Housing Credit Financing for Affordable Housing Developments Located in Broward, Duval, Hillsborough, Lee, Orange, Palm Beach, Pinellas, and Polk Counties</t>
  </si>
  <si>
    <t>Financing to build Smaller Permanent Supportive Housing Properties for Persons with Developmental Disabilities</t>
  </si>
  <si>
    <t xml:space="preserve">  RFA 2025-212</t>
  </si>
  <si>
    <t>Housing Credit Financing to Provide Affordable Multifamily Rental Housing that is a part of Local Revitalization Initiatives</t>
  </si>
  <si>
    <t xml:space="preserve">  RFA 2025-212SF</t>
  </si>
  <si>
    <t xml:space="preserve">  RFA 2026-102</t>
  </si>
  <si>
    <t xml:space="preserve">  RFA 2026-102SF</t>
  </si>
  <si>
    <t xml:space="preserve">  RFA 2026-103</t>
  </si>
  <si>
    <t xml:space="preserve">  RFA 2026-103SF</t>
  </si>
  <si>
    <t xml:space="preserve">  RFA 2026-105</t>
  </si>
  <si>
    <t xml:space="preserve">  RFA 2026-106</t>
  </si>
  <si>
    <t xml:space="preserve">  RFA 2026-106SF</t>
  </si>
  <si>
    <t>BABA</t>
  </si>
  <si>
    <t>Non-Geographic TDC Multiplier – For Applications receiving funding from the Corporation which are directly generating expenses related to Build America, Buy America (BABA) costs, if applicable</t>
  </si>
  <si>
    <t xml:space="preserve">  RFA 2026-104</t>
  </si>
  <si>
    <t xml:space="preserve">  RFA 2026-104SF</t>
  </si>
  <si>
    <t>BABA Multiplier</t>
  </si>
  <si>
    <t>SAIL Financing for Smaller Developments for Persons with Special Needs</t>
  </si>
  <si>
    <t xml:space="preserve">  RFA 2026-206</t>
  </si>
  <si>
    <t>HOME and Live Local SAIL Financing to be used for Rental Developments in Rural Areas of Opportunity</t>
  </si>
  <si>
    <t xml:space="preserve">  RFA 2026-206SF</t>
  </si>
  <si>
    <t>All RFA's are to have the blue multipliers even if the sources don’t call for them because they could have outside sources that trigger them.</t>
  </si>
  <si>
    <t>2026/2027</t>
  </si>
  <si>
    <t>FOR CUR Template:</t>
  </si>
  <si>
    <t>TDC PU Limitation at Credit Underwriting:</t>
  </si>
  <si>
    <t>Actual TDC PU at Credit Underwriting:</t>
  </si>
  <si>
    <t>Amount Dev. Fee Reduced for TDC Limit:</t>
  </si>
  <si>
    <t>NC: (f) = {  [  (a)  / 75%  ]  +  (c)  }  / (d) *  [  1  +  (e)  ]</t>
  </si>
  <si>
    <t>Rehab (prior to 2026/2027 RFA Cycle): (f) = {  [  (a)  / 75%  ]  +  (c)  }  / (d) *  [  1  +  (e)  ]</t>
  </si>
  <si>
    <t>Rehab (starting 2026/2027 RFA Cycle): (f) = {  [  (a)  / 70%  ]  +  (c)  }  / (d) *  [  1  +  (e)  ]</t>
  </si>
  <si>
    <t>Soft Cost Multiplier</t>
  </si>
  <si>
    <t xml:space="preserve">  RFA 2026-201</t>
  </si>
  <si>
    <t xml:space="preserve">  RFA 2026-202</t>
  </si>
  <si>
    <t xml:space="preserve">  RFA 2026-202SF</t>
  </si>
  <si>
    <t xml:space="preserve">  RFA 2026-203</t>
  </si>
  <si>
    <t>Updated the Soft Cost Factor for Rehab Developments from 75% to 70% per Kevin T - takes effect for the 2026-2027 RFA cycle - see rows 57-63</t>
  </si>
  <si>
    <t>TBD</t>
  </si>
  <si>
    <t>New Construction</t>
  </si>
  <si>
    <t>Rehab</t>
  </si>
  <si>
    <t xml:space="preserve">  RFA 2026-205</t>
  </si>
  <si>
    <t xml:space="preserve">  RFA 2026-205SF</t>
  </si>
  <si>
    <t>Hard</t>
  </si>
  <si>
    <t>Soft</t>
  </si>
  <si>
    <t>(Does not include any costs authorized to be excluded)</t>
  </si>
  <si>
    <t>Exhibit C.1.a.(2).(a) (includes any applicable Developer Fee on non-acquistion costs authorized to be excluded)</t>
  </si>
  <si>
    <t>(includes costs authorized to be excluded from the TDC limitation)</t>
  </si>
  <si>
    <t>(16%, 18%, 21%, 10% and a Board Approved option; Use 18% for 4% A/R Transactions)</t>
  </si>
  <si>
    <r>
      <t>Change in Developments's FCCA Costs relative to CUR</t>
    </r>
    <r>
      <rPr>
        <sz val="10"/>
        <color rgb="FFFF0000"/>
        <rFont val="Times New Roman"/>
        <family val="1"/>
      </rPr>
      <t xml:space="preserve"> non-Acquisition Hard </t>
    </r>
    <r>
      <rPr>
        <sz val="10"/>
        <color theme="1"/>
        <rFont val="Times New Roman"/>
        <family val="1"/>
      </rPr>
      <t>Costs eligible to earn a DF</t>
    </r>
  </si>
  <si>
    <r>
      <t>Change in Developments's FCCA Costs relative to CUR</t>
    </r>
    <r>
      <rPr>
        <sz val="10"/>
        <color rgb="FFFF0000"/>
        <rFont val="Times New Roman"/>
        <family val="1"/>
      </rPr>
      <t xml:space="preserve"> non-Acquisition Soft</t>
    </r>
    <r>
      <rPr>
        <sz val="10"/>
        <color theme="1"/>
        <rFont val="Times New Roman"/>
        <family val="1"/>
      </rPr>
      <t xml:space="preserve"> Costs eligible to earn a DF</t>
    </r>
  </si>
  <si>
    <t>This table takes the Developer Fee from a single lower-cost Development Type and incorporates it into a single higher-cost Development Type to achieve a blended TDC Limit. Contact Development Finance for any other situation.</t>
  </si>
  <si>
    <t>Rounddown to how many decimals? (Default=2)</t>
  </si>
  <si>
    <t xml:space="preserve">  RFA 2026-212</t>
  </si>
  <si>
    <t xml:space="preserve">  RFA 2026-212SF</t>
  </si>
  <si>
    <t xml:space="preserve">  RFA 2026-218</t>
  </si>
  <si>
    <t xml:space="preserve">  RFA 2026-204</t>
  </si>
  <si>
    <t xml:space="preserve">  RFA 2026-216</t>
  </si>
  <si>
    <t>SAIL Financing for the Preservation of Developments in the Corporation Portfolio</t>
  </si>
  <si>
    <t xml:space="preserve">  RFA 2026-204SF</t>
  </si>
  <si>
    <t xml:space="preserve">  RFA 2026-216SF</t>
  </si>
  <si>
    <t xml:space="preserve">  RFA 2026-218SF</t>
  </si>
  <si>
    <t>Shaded areas above are used in formulas above.  Do not edit other than by FHFC staff in select input cells.</t>
  </si>
  <si>
    <t>D12: Max NADC</t>
  </si>
  <si>
    <t>D13: Max DF on NADC</t>
  </si>
  <si>
    <t>D12: Max NA Soft Costs*</t>
  </si>
  <si>
    <t>D19: Max DF on Acq</t>
  </si>
  <si>
    <t>D20: Total DF</t>
  </si>
  <si>
    <t>….....Non-ODR DF</t>
  </si>
  <si>
    <t>….....ODR DF</t>
  </si>
  <si>
    <t>Acq/Rehab #s</t>
  </si>
  <si>
    <t>Copy/Paste for each Type</t>
  </si>
  <si>
    <t>9.15.26 draft</t>
  </si>
  <si>
    <t>9.18.26 draft</t>
  </si>
  <si>
    <t>9.30.26 draft</t>
  </si>
  <si>
    <t>May be an ITP</t>
  </si>
  <si>
    <t xml:space="preserve">  RFA 2026-108</t>
  </si>
  <si>
    <t xml:space="preserve">  RFA 2026-108SF</t>
  </si>
  <si>
    <t xml:space="preserve">  RFA 2027-103</t>
  </si>
  <si>
    <t xml:space="preserve">  RFA 2027-103SF</t>
  </si>
  <si>
    <t xml:space="preserve">  RFA 2027-106</t>
  </si>
  <si>
    <t xml:space="preserve">  RFA 2027-106SF</t>
  </si>
  <si>
    <t>9.17.26 draft</t>
  </si>
  <si>
    <t>9.10.26 draft</t>
  </si>
  <si>
    <t>May be an ITP - also 217 is in question ITP or RFA?</t>
  </si>
  <si>
    <t>TOTAL DEVELOPMENT COST LIMITATION TEST TEMPLATE - Version 09-30-2026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</si>
</sst>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6" formatCode="&quot;$&quot;#,##0_);[Red]\(&quot;$&quot;#,##0\)"/>
    <numFmt numFmtId="8" formatCode="&quot;$&quot;#,##0.00_);[Red]\(&quot;$&quot;#,##0.00\)"/>
    <numFmt numFmtId="44" formatCode="_(&quot;$&quot;* #,##0.00_);_(&quot;$&quot;* \(#,##0.00\);_(&quot;$&quot;* &quot;-&quot;??_);_(@_)"/>
    <numFmt numFmtId="43" formatCode="_(* #,##0.00_);_(* \(#,##0.00\);_(* &quot;-&quot;??_);_(@_)"/>
    <numFmt numFmtId="164" formatCode="#,##0&quot; Units&quot;"/>
    <numFmt numFmtId="165" formatCode="mm/dd/yyyy;@"/>
    <numFmt numFmtId="166" formatCode="0.0%"/>
    <numFmt numFmtId="167" formatCode="&quot;Dev Types: &quot;#,##0_)"/>
    <numFmt numFmtId="168" formatCode="_(&quot;$&quot;* #,##0_);_(&quot;$&quot;* \(#,##0\);_(&quot;$&quot;* &quot;-&quot;??_);_(@_)"/>
    <numFmt numFmtId="169" formatCode="0.0000%"/>
    <numFmt numFmtId="170" formatCode="_(* #,##0_);_(* \(#,##0\);_(* &quot;-&quot;??_);_(@_)"/>
    <numFmt numFmtId="171" formatCode="&quot;Max Non-Acquisition Development &quot;@&quot; Cost for Developer Fee&quot;"/>
  </numFmts>
  <fonts count="47" x14ac:knownFonts="1">
    <font>
      <sz val="11"/>
      <color theme="1"/>
      <name val="Calibri"/>
      <family val="2"/>
      <scheme val="minor"/>
    </font>
    <font>
      <sz val="11"/>
      <color theme="1"/>
      <name val="Calibri"/>
      <family val="2"/>
      <scheme val="minor"/>
    </font>
    <font>
      <b/>
      <sz val="11"/>
      <color theme="1"/>
      <name val="Calibri"/>
      <family val="2"/>
      <scheme val="minor"/>
    </font>
    <font>
      <sz val="11"/>
      <color rgb="FF0000FF"/>
      <name val="Calibri"/>
      <family val="2"/>
      <scheme val="minor"/>
    </font>
    <font>
      <sz val="10"/>
      <color rgb="FF0000FF"/>
      <name val="Times New Roman"/>
      <family val="2"/>
    </font>
    <font>
      <sz val="11"/>
      <color rgb="FFFF0000"/>
      <name val="Calibri"/>
      <family val="2"/>
      <scheme val="minor"/>
    </font>
    <font>
      <b/>
      <i/>
      <sz val="11"/>
      <color theme="1"/>
      <name val="Calibri"/>
      <family val="2"/>
      <scheme val="minor"/>
    </font>
    <font>
      <sz val="9"/>
      <color indexed="81"/>
      <name val="Tahoma"/>
      <family val="2"/>
    </font>
    <font>
      <b/>
      <sz val="9"/>
      <color indexed="81"/>
      <name val="Tahoma"/>
      <family val="2"/>
    </font>
    <font>
      <sz val="10"/>
      <color theme="1"/>
      <name val="Times New Roman"/>
      <family val="2"/>
    </font>
    <font>
      <i/>
      <sz val="9"/>
      <color theme="1"/>
      <name val="Times New Roman"/>
      <family val="1"/>
    </font>
    <font>
      <b/>
      <i/>
      <sz val="10"/>
      <color theme="1"/>
      <name val="Times New Roman"/>
      <family val="1"/>
    </font>
    <font>
      <b/>
      <sz val="10"/>
      <color theme="1"/>
      <name val="Times New Roman"/>
      <family val="1"/>
    </font>
    <font>
      <b/>
      <u/>
      <sz val="10"/>
      <color theme="1"/>
      <name val="Times New Roman"/>
      <family val="1"/>
    </font>
    <font>
      <sz val="10"/>
      <color theme="1"/>
      <name val="Times New Roman"/>
      <family val="1"/>
    </font>
    <font>
      <sz val="10"/>
      <name val="Times New Roman"/>
      <family val="2"/>
    </font>
    <font>
      <b/>
      <sz val="10"/>
      <color rgb="FF0000FF"/>
      <name val="Times New Roman"/>
      <family val="1"/>
    </font>
    <font>
      <i/>
      <sz val="9"/>
      <name val="Times New Roman"/>
      <family val="1"/>
    </font>
    <font>
      <i/>
      <sz val="8"/>
      <color theme="1"/>
      <name val="Times New Roman"/>
      <family val="1"/>
    </font>
    <font>
      <u/>
      <sz val="10"/>
      <color theme="1"/>
      <name val="Times New Roman"/>
      <family val="1"/>
    </font>
    <font>
      <b/>
      <sz val="10"/>
      <name val="Times New Roman"/>
      <family val="1"/>
    </font>
    <font>
      <b/>
      <sz val="10"/>
      <color rgb="FFC00000"/>
      <name val="Times New Roman"/>
      <family val="1"/>
    </font>
    <font>
      <b/>
      <sz val="11"/>
      <name val="Calibri"/>
      <family val="2"/>
      <scheme val="minor"/>
    </font>
    <font>
      <b/>
      <u/>
      <sz val="11"/>
      <color theme="1"/>
      <name val="Calibri"/>
      <family val="2"/>
      <scheme val="minor"/>
    </font>
    <font>
      <b/>
      <u/>
      <sz val="12"/>
      <color theme="1"/>
      <name val="Calibri"/>
      <family val="2"/>
      <scheme val="minor"/>
    </font>
    <font>
      <sz val="11"/>
      <color theme="1"/>
      <name val="Times New Roman"/>
      <family val="1"/>
    </font>
    <font>
      <sz val="11"/>
      <color theme="0"/>
      <name val="Calibri"/>
      <family val="2"/>
      <scheme val="minor"/>
    </font>
    <font>
      <sz val="10"/>
      <color theme="1"/>
      <name val="Symbol"/>
      <family val="1"/>
      <charset val="2"/>
    </font>
    <font>
      <sz val="11"/>
      <name val="Calibri"/>
      <family val="2"/>
      <scheme val="minor"/>
    </font>
    <font>
      <b/>
      <i/>
      <sz val="11"/>
      <color theme="0"/>
      <name val="Calibri"/>
      <family val="2"/>
      <scheme val="minor"/>
    </font>
    <font>
      <sz val="8"/>
      <name val="Calibri"/>
      <family val="2"/>
      <scheme val="minor"/>
    </font>
    <font>
      <sz val="11"/>
      <color rgb="FF7030A0"/>
      <name val="Calibri"/>
      <family val="2"/>
      <scheme val="minor"/>
    </font>
    <font>
      <i/>
      <sz val="11"/>
      <color theme="1"/>
      <name val="Calibri"/>
      <family val="2"/>
      <scheme val="minor"/>
    </font>
    <font>
      <b/>
      <u/>
      <sz val="11"/>
      <color rgb="FF0000FF"/>
      <name val="Calibri"/>
      <family val="2"/>
      <scheme val="minor"/>
    </font>
    <font>
      <b/>
      <sz val="11"/>
      <color theme="1"/>
      <name val="Times New Roman"/>
      <family val="1"/>
    </font>
    <font>
      <b/>
      <u/>
      <sz val="11"/>
      <name val="Calibri"/>
      <family val="2"/>
      <scheme val="minor"/>
    </font>
    <font>
      <b/>
      <u/>
      <sz val="11"/>
      <color theme="1"/>
      <name val="Times New Roman"/>
      <family val="1"/>
    </font>
    <font>
      <sz val="9"/>
      <name val="Times New Roman"/>
      <family val="1"/>
    </font>
    <font>
      <sz val="8"/>
      <color theme="1"/>
      <name val="Times New Roman"/>
      <family val="1"/>
    </font>
    <font>
      <sz val="10"/>
      <name val="Times New Roman"/>
      <family val="1"/>
    </font>
    <font>
      <u/>
      <sz val="10"/>
      <color theme="1"/>
      <name val="Times New Roman"/>
      <family val="2"/>
    </font>
    <font>
      <sz val="10"/>
      <color rgb="FF0000FF"/>
      <name val="Times New Roman"/>
      <family val="1"/>
    </font>
    <font>
      <sz val="10"/>
      <color rgb="FFFF0000"/>
      <name val="Times New Roman"/>
      <family val="1"/>
    </font>
    <font>
      <i/>
      <sz val="8"/>
      <name val="Times New Roman"/>
      <family val="1"/>
    </font>
    <font>
      <sz val="9"/>
      <color theme="1"/>
      <name val="Times New Roman"/>
      <family val="2"/>
    </font>
    <font>
      <sz val="8"/>
      <color theme="1"/>
      <name val="Times New Roman"/>
      <family val="2"/>
    </font>
    <font>
      <sz val="10"/>
      <color rgb="FF006600"/>
      <name val="Times New Roman"/>
      <family val="2"/>
    </font>
  </fonts>
  <fills count="24">
    <fill>
      <patternFill patternType="none"/>
    </fill>
    <fill>
      <patternFill patternType="gray125"/>
    </fill>
    <fill>
      <patternFill patternType="solid">
        <fgColor rgb="FFFFFFE6"/>
        <bgColor indexed="64"/>
      </patternFill>
    </fill>
    <fill>
      <patternFill patternType="lightUp">
        <fgColor theme="0" tint="-0.499984740745262"/>
        <bgColor indexed="65"/>
      </patternFill>
    </fill>
    <fill>
      <patternFill patternType="solid">
        <fgColor rgb="FF00FF00"/>
        <bgColor indexed="64"/>
      </patternFill>
    </fill>
    <fill>
      <patternFill patternType="solid">
        <fgColor theme="0" tint="-4.9989318521683403E-2"/>
        <bgColor indexed="64"/>
      </patternFill>
    </fill>
    <fill>
      <patternFill patternType="lightUp"/>
    </fill>
    <fill>
      <patternFill patternType="solid">
        <fgColor theme="4" tint="0.79998168889431442"/>
        <bgColor indexed="64"/>
      </patternFill>
    </fill>
    <fill>
      <patternFill patternType="solid">
        <fgColor theme="5" tint="0.79998168889431442"/>
        <bgColor indexed="64"/>
      </patternFill>
    </fill>
    <fill>
      <patternFill patternType="solid">
        <fgColor theme="5" tint="0.79998168889431442"/>
        <bgColor theme="0"/>
      </patternFill>
    </fill>
    <fill>
      <patternFill patternType="solid">
        <fgColor theme="8" tint="0.79998168889431442"/>
        <bgColor indexed="64"/>
      </patternFill>
    </fill>
    <fill>
      <patternFill patternType="solid">
        <fgColor rgb="FFFF99FF"/>
        <bgColor indexed="64"/>
      </patternFill>
    </fill>
    <fill>
      <patternFill patternType="solid">
        <fgColor theme="5" tint="0.59999389629810485"/>
        <bgColor indexed="64"/>
      </patternFill>
    </fill>
    <fill>
      <patternFill patternType="solid">
        <fgColor rgb="FFFFFFE1"/>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99FF99"/>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FF0000"/>
        <bgColor indexed="64"/>
      </patternFill>
    </fill>
  </fills>
  <borders count="50">
    <border>
      <left/>
      <right/>
      <top/>
      <bottom/>
      <diagonal/>
    </border>
    <border>
      <left/>
      <right/>
      <top/>
      <bottom style="thin">
        <color indexed="64"/>
      </bottom>
      <diagonal/>
    </border>
    <border>
      <left/>
      <right/>
      <top/>
      <bottom style="thin">
        <color rgb="FF0000F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hair">
        <color auto="1"/>
      </bottom>
      <diagonal/>
    </border>
    <border>
      <left/>
      <right/>
      <top style="hair">
        <color auto="1"/>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top style="hair">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FF"/>
      </bottom>
      <diagonal/>
    </border>
    <border>
      <left/>
      <right/>
      <top style="thin">
        <color rgb="FF0000FF"/>
      </top>
      <bottom style="thin">
        <color rgb="FF0000FF"/>
      </bottom>
      <diagonal/>
    </border>
    <border>
      <left/>
      <right/>
      <top style="dotted">
        <color auto="1"/>
      </top>
      <bottom style="dotted">
        <color auto="1"/>
      </bottom>
      <diagonal/>
    </border>
    <border>
      <left/>
      <right style="thin">
        <color indexed="64"/>
      </right>
      <top/>
      <bottom style="hair">
        <color auto="1"/>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hair">
        <color auto="1"/>
      </bottom>
      <diagonal/>
    </border>
    <border>
      <left style="thin">
        <color theme="0" tint="-0.14996795556505021"/>
      </left>
      <right style="thin">
        <color theme="0" tint="-0.14996795556505021"/>
      </right>
      <top style="thin">
        <color indexed="64"/>
      </top>
      <bottom/>
      <diagonal/>
    </border>
    <border>
      <left style="thin">
        <color theme="0" tint="-0.14996795556505021"/>
      </left>
      <right style="thin">
        <color indexed="64"/>
      </right>
      <top style="thin">
        <color indexed="64"/>
      </top>
      <bottom/>
      <diagonal/>
    </border>
    <border>
      <left style="thin">
        <color theme="0" tint="-0.14996795556505021"/>
      </left>
      <right style="thin">
        <color indexed="64"/>
      </right>
      <top/>
      <bottom style="hair">
        <color auto="1"/>
      </bottom>
      <diagonal/>
    </border>
    <border>
      <left style="thin">
        <color theme="0" tint="-0.14996795556505021"/>
      </left>
      <right style="thin">
        <color theme="0" tint="-0.14996795556505021"/>
      </right>
      <top style="hair">
        <color auto="1"/>
      </top>
      <bottom style="hair">
        <color auto="1"/>
      </bottom>
      <diagonal/>
    </border>
    <border>
      <left style="thin">
        <color theme="0" tint="-0.14996795556505021"/>
      </left>
      <right style="thin">
        <color indexed="64"/>
      </right>
      <top style="hair">
        <color indexed="64"/>
      </top>
      <bottom style="hair">
        <color indexed="64"/>
      </bottom>
      <diagonal/>
    </border>
    <border>
      <left style="thin">
        <color theme="0" tint="-0.14996795556505021"/>
      </left>
      <right style="thin">
        <color theme="0" tint="-0.14996795556505021"/>
      </right>
      <top/>
      <bottom style="thin">
        <color indexed="64"/>
      </bottom>
      <diagonal/>
    </border>
    <border>
      <left style="thin">
        <color theme="0" tint="-0.14996795556505021"/>
      </left>
      <right style="thin">
        <color indexed="64"/>
      </right>
      <top/>
      <bottom style="thin">
        <color indexed="64"/>
      </bottom>
      <diagonal/>
    </border>
    <border>
      <left style="thin">
        <color theme="0" tint="-0.14996795556505021"/>
      </left>
      <right style="thin">
        <color theme="0" tint="-0.14996795556505021"/>
      </right>
      <top/>
      <bottom style="hair">
        <color auto="1"/>
      </bottom>
      <diagonal/>
    </border>
    <border>
      <left style="thin">
        <color indexed="64"/>
      </left>
      <right/>
      <top style="thin">
        <color indexed="64"/>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right/>
      <top style="double">
        <color auto="1"/>
      </top>
      <bottom style="thin">
        <color auto="1"/>
      </bottom>
      <diagonal/>
    </border>
    <border>
      <left style="medium">
        <color indexed="64"/>
      </left>
      <right style="medium">
        <color indexed="64"/>
      </right>
      <top style="hair">
        <color auto="1"/>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7">
    <xf numFmtId="0" fontId="0" fillId="0" borderId="0"/>
    <xf numFmtId="9" fontId="1"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4" fontId="1" fillId="0" borderId="0" applyFont="0" applyFill="0" applyBorder="0" applyAlignment="0" applyProtection="0"/>
    <xf numFmtId="43" fontId="1" fillId="0" borderId="0" applyFont="0" applyFill="0" applyBorder="0" applyAlignment="0" applyProtection="0"/>
  </cellStyleXfs>
  <cellXfs count="358">
    <xf numFmtId="0" fontId="0" fillId="0" borderId="0" xfId="0"/>
    <xf numFmtId="0" fontId="0" fillId="0" borderId="1" xfId="0" applyBorder="1"/>
    <xf numFmtId="0" fontId="2" fillId="0" borderId="0" xfId="0" applyFont="1"/>
    <xf numFmtId="9" fontId="0" fillId="0" borderId="0" xfId="1" applyFont="1" applyBorder="1" applyAlignment="1">
      <alignment horizontal="center" vertical="center"/>
    </xf>
    <xf numFmtId="9" fontId="0" fillId="0" borderId="1" xfId="1" applyFont="1" applyBorder="1" applyAlignment="1">
      <alignment horizontal="center" vertical="center"/>
    </xf>
    <xf numFmtId="6" fontId="0" fillId="0" borderId="1" xfId="0" applyNumberFormat="1" applyBorder="1" applyAlignment="1">
      <alignment horizontal="center" vertical="center"/>
    </xf>
    <xf numFmtId="0" fontId="0" fillId="0" borderId="11" xfId="0" applyBorder="1"/>
    <xf numFmtId="0" fontId="0" fillId="0" borderId="12" xfId="0" applyBorder="1"/>
    <xf numFmtId="0" fontId="2" fillId="0" borderId="0" xfId="0" applyFont="1" applyAlignment="1">
      <alignment horizontal="center"/>
    </xf>
    <xf numFmtId="0" fontId="0" fillId="0" borderId="13" xfId="0" applyBorder="1" applyAlignment="1">
      <alignment horizontal="left"/>
    </xf>
    <xf numFmtId="0" fontId="0" fillId="0" borderId="15" xfId="0" applyBorder="1" applyAlignment="1">
      <alignment horizontal="center"/>
    </xf>
    <xf numFmtId="0" fontId="0" fillId="0" borderId="14" xfId="0" applyBorder="1"/>
    <xf numFmtId="0" fontId="0" fillId="0" borderId="15" xfId="0" applyBorder="1"/>
    <xf numFmtId="0" fontId="0" fillId="0" borderId="0" xfId="0" applyAlignment="1">
      <alignment vertical="center"/>
    </xf>
    <xf numFmtId="0" fontId="0" fillId="3" borderId="0" xfId="0" applyFill="1"/>
    <xf numFmtId="0" fontId="0" fillId="3" borderId="1" xfId="0" applyFill="1" applyBorder="1"/>
    <xf numFmtId="165" fontId="0" fillId="3" borderId="0" xfId="0" applyNumberFormat="1" applyFill="1" applyAlignment="1">
      <alignment horizontal="center" vertical="center"/>
    </xf>
    <xf numFmtId="165" fontId="0" fillId="3" borderId="1" xfId="0" applyNumberFormat="1" applyFill="1" applyBorder="1" applyAlignment="1">
      <alignment horizontal="center" vertical="center"/>
    </xf>
    <xf numFmtId="0" fontId="0" fillId="0" borderId="0" xfId="0" applyAlignment="1">
      <alignment horizontal="center" vertical="center"/>
    </xf>
    <xf numFmtId="0" fontId="0" fillId="3" borderId="6" xfId="0" applyFill="1" applyBorder="1" applyAlignment="1">
      <alignment horizontal="center" vertical="center"/>
    </xf>
    <xf numFmtId="0" fontId="0" fillId="3" borderId="0" xfId="0" applyFill="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0" borderId="13" xfId="0" applyBorder="1" applyAlignment="1">
      <alignment horizontal="center"/>
    </xf>
    <xf numFmtId="0" fontId="5" fillId="0" borderId="0" xfId="0" applyFont="1"/>
    <xf numFmtId="0" fontId="2" fillId="0" borderId="1" xfId="0" applyFont="1" applyBorder="1" applyAlignment="1">
      <alignment horizontal="center" vertical="center"/>
    </xf>
    <xf numFmtId="0" fontId="2" fillId="0" borderId="1" xfId="0" applyFont="1" applyBorder="1" applyAlignment="1">
      <alignment horizontal="center"/>
    </xf>
    <xf numFmtId="0" fontId="2" fillId="4" borderId="4" xfId="0" applyFont="1" applyFill="1" applyBorder="1" applyAlignment="1">
      <alignment horizontal="center"/>
    </xf>
    <xf numFmtId="8" fontId="0" fillId="0" borderId="0" xfId="0" applyNumberFormat="1"/>
    <xf numFmtId="164" fontId="0" fillId="0" borderId="0" xfId="0" applyNumberFormat="1" applyAlignment="1">
      <alignment horizontal="center"/>
    </xf>
    <xf numFmtId="0" fontId="0" fillId="0" borderId="0" xfId="0" applyAlignment="1">
      <alignment horizontal="center"/>
    </xf>
    <xf numFmtId="0" fontId="3" fillId="2" borderId="2" xfId="0" applyFont="1" applyFill="1" applyBorder="1" applyAlignment="1" applyProtection="1">
      <alignment horizontal="center" vertical="center"/>
      <protection locked="0"/>
    </xf>
    <xf numFmtId="8" fontId="15" fillId="0" borderId="0" xfId="2" applyNumberFormat="1" applyFont="1" applyAlignment="1">
      <alignment vertical="center"/>
    </xf>
    <xf numFmtId="6" fontId="4" fillId="0" borderId="0" xfId="2" applyNumberFormat="1" applyFont="1" applyAlignment="1">
      <alignment vertical="center"/>
    </xf>
    <xf numFmtId="9" fontId="4" fillId="0" borderId="0" xfId="3" applyFont="1" applyFill="1" applyBorder="1" applyProtection="1"/>
    <xf numFmtId="166" fontId="0" fillId="0" borderId="0" xfId="1" applyNumberFormat="1" applyFont="1" applyFill="1" applyAlignment="1">
      <alignment horizontal="center" vertical="center"/>
    </xf>
    <xf numFmtId="0" fontId="26" fillId="0" borderId="0" xfId="0" applyFont="1"/>
    <xf numFmtId="0" fontId="28" fillId="0" borderId="0" xfId="0" applyFont="1"/>
    <xf numFmtId="6" fontId="0" fillId="0" borderId="0" xfId="0" applyNumberFormat="1" applyAlignment="1">
      <alignment horizontal="center" vertical="center"/>
    </xf>
    <xf numFmtId="0" fontId="3" fillId="0" borderId="0" xfId="0" applyFont="1"/>
    <xf numFmtId="168" fontId="0" fillId="0" borderId="0" xfId="5" applyNumberFormat="1" applyFont="1"/>
    <xf numFmtId="0" fontId="23" fillId="0" borderId="0" xfId="0" applyFont="1"/>
    <xf numFmtId="0" fontId="31" fillId="0" borderId="0" xfId="0" applyFont="1"/>
    <xf numFmtId="0" fontId="0" fillId="0" borderId="0" xfId="0" quotePrefix="1"/>
    <xf numFmtId="0" fontId="0" fillId="0" borderId="1" xfId="0" applyBorder="1" applyAlignment="1">
      <alignment vertical="center"/>
    </xf>
    <xf numFmtId="0" fontId="0" fillId="0" borderId="11" xfId="0" applyBorder="1" applyAlignment="1">
      <alignment horizontal="left"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165" fontId="0" fillId="3" borderId="6" xfId="0" applyNumberFormat="1" applyFill="1" applyBorder="1" applyAlignment="1">
      <alignment horizontal="center" vertical="center"/>
    </xf>
    <xf numFmtId="165" fontId="0" fillId="3" borderId="8" xfId="0" applyNumberFormat="1" applyFill="1" applyBorder="1" applyAlignment="1">
      <alignment horizontal="center" vertical="center"/>
    </xf>
    <xf numFmtId="0" fontId="0" fillId="3" borderId="0" xfId="0" applyFill="1" applyAlignment="1">
      <alignment horizontal="right" vertical="center"/>
    </xf>
    <xf numFmtId="0" fontId="0" fillId="3" borderId="1" xfId="0" applyFill="1" applyBorder="1" applyAlignment="1">
      <alignment horizontal="right" vertical="center"/>
    </xf>
    <xf numFmtId="0" fontId="0" fillId="3" borderId="6" xfId="0" applyFill="1" applyBorder="1" applyAlignment="1">
      <alignment horizontal="left" vertical="center"/>
    </xf>
    <xf numFmtId="0" fontId="0" fillId="3" borderId="8" xfId="0" applyFill="1" applyBorder="1" applyAlignment="1">
      <alignment horizontal="left" vertical="center"/>
    </xf>
    <xf numFmtId="165" fontId="0" fillId="8" borderId="7" xfId="0" applyNumberFormat="1" applyFill="1" applyBorder="1" applyAlignment="1">
      <alignment horizontal="center" vertical="center"/>
    </xf>
    <xf numFmtId="0" fontId="0" fillId="0" borderId="14" xfId="0" applyBorder="1" applyAlignment="1">
      <alignment horizontal="center"/>
    </xf>
    <xf numFmtId="165" fontId="0" fillId="8" borderId="0" xfId="0" applyNumberFormat="1" applyFill="1" applyAlignment="1">
      <alignment horizontal="center" vertical="center"/>
    </xf>
    <xf numFmtId="0" fontId="0" fillId="9" borderId="0" xfId="0" applyFill="1" applyAlignment="1">
      <alignment horizontal="center" vertical="center"/>
    </xf>
    <xf numFmtId="0" fontId="32" fillId="0" borderId="0" xfId="0" applyFont="1" applyAlignment="1">
      <alignment horizontal="center" vertical="center"/>
    </xf>
    <xf numFmtId="0" fontId="32" fillId="0" borderId="0" xfId="0" applyFont="1"/>
    <xf numFmtId="9" fontId="0" fillId="0" borderId="0" xfId="1" applyFont="1"/>
    <xf numFmtId="0" fontId="0" fillId="0" borderId="0" xfId="0" applyAlignment="1">
      <alignment horizontal="left" vertical="top" wrapText="1"/>
    </xf>
    <xf numFmtId="168" fontId="0" fillId="0" borderId="1" xfId="5" applyNumberFormat="1" applyFont="1" applyBorder="1"/>
    <xf numFmtId="0" fontId="0" fillId="0" borderId="0" xfId="0" applyAlignment="1">
      <alignment horizontal="left"/>
    </xf>
    <xf numFmtId="0" fontId="0" fillId="0" borderId="0" xfId="0" applyAlignment="1">
      <alignment vertical="top"/>
    </xf>
    <xf numFmtId="0" fontId="2" fillId="10" borderId="0" xfId="0" applyFont="1" applyFill="1" applyAlignment="1">
      <alignment horizontal="center"/>
    </xf>
    <xf numFmtId="38" fontId="33" fillId="10" borderId="0" xfId="0" applyNumberFormat="1" applyFont="1" applyFill="1" applyAlignment="1">
      <alignment horizontal="right"/>
    </xf>
    <xf numFmtId="0" fontId="33" fillId="10" borderId="0" xfId="0" applyFont="1" applyFill="1" applyAlignment="1">
      <alignment horizontal="right"/>
    </xf>
    <xf numFmtId="0" fontId="35" fillId="10" borderId="0" xfId="0" applyFont="1" applyFill="1" applyAlignment="1">
      <alignment horizontal="right"/>
    </xf>
    <xf numFmtId="38" fontId="3" fillId="10" borderId="0" xfId="0" applyNumberFormat="1" applyFont="1" applyFill="1"/>
    <xf numFmtId="167" fontId="3" fillId="10" borderId="0" xfId="0" applyNumberFormat="1" applyFont="1" applyFill="1"/>
    <xf numFmtId="0" fontId="28" fillId="10" borderId="0" xfId="0" applyFont="1" applyFill="1"/>
    <xf numFmtId="8" fontId="2" fillId="10" borderId="0" xfId="0" applyNumberFormat="1" applyFont="1" applyFill="1"/>
    <xf numFmtId="43" fontId="28" fillId="0" borderId="0" xfId="6" applyFont="1"/>
    <xf numFmtId="0" fontId="6" fillId="7" borderId="0" xfId="0" applyFont="1" applyFill="1" applyAlignment="1">
      <alignment horizontal="center"/>
    </xf>
    <xf numFmtId="0" fontId="2" fillId="7" borderId="0" xfId="0" applyFont="1" applyFill="1" applyAlignment="1">
      <alignment horizontal="center"/>
    </xf>
    <xf numFmtId="8" fontId="0" fillId="7" borderId="0" xfId="0" applyNumberFormat="1" applyFill="1" applyAlignment="1">
      <alignment horizontal="center" vertical="center"/>
    </xf>
    <xf numFmtId="10" fontId="0" fillId="7" borderId="0" xfId="1" applyNumberFormat="1" applyFont="1" applyFill="1" applyBorder="1" applyAlignment="1">
      <alignment horizontal="center" vertical="center"/>
    </xf>
    <xf numFmtId="0" fontId="10" fillId="0" borderId="0" xfId="2" applyFont="1" applyAlignment="1">
      <alignment horizontal="left" vertical="top" wrapText="1"/>
    </xf>
    <xf numFmtId="0" fontId="13" fillId="0" borderId="0" xfId="2" applyFont="1" applyAlignment="1">
      <alignment horizontal="center"/>
    </xf>
    <xf numFmtId="0" fontId="12" fillId="0" borderId="0" xfId="2" applyFont="1" applyAlignment="1">
      <alignment horizontal="center"/>
    </xf>
    <xf numFmtId="0" fontId="9" fillId="0" borderId="0" xfId="2"/>
    <xf numFmtId="40" fontId="9" fillId="0" borderId="0" xfId="2" applyNumberFormat="1"/>
    <xf numFmtId="0" fontId="14" fillId="0" borderId="20" xfId="2" applyFont="1" applyBorder="1" applyAlignment="1">
      <alignment wrapText="1"/>
    </xf>
    <xf numFmtId="0" fontId="14" fillId="0" borderId="0" xfId="2" applyFont="1" applyAlignment="1">
      <alignment horizontal="right" vertical="center"/>
    </xf>
    <xf numFmtId="0" fontId="10" fillId="0" borderId="0" xfId="2" applyFont="1" applyAlignment="1">
      <alignment horizontal="left" vertical="center" wrapText="1"/>
    </xf>
    <xf numFmtId="0" fontId="15" fillId="0" borderId="0" xfId="2" applyFont="1" applyAlignment="1">
      <alignment horizontal="right" vertical="center"/>
    </xf>
    <xf numFmtId="0" fontId="15" fillId="0" borderId="0" xfId="2" applyFont="1" applyAlignment="1">
      <alignment horizontal="right"/>
    </xf>
    <xf numFmtId="0" fontId="9" fillId="0" borderId="0" xfId="2" applyAlignment="1">
      <alignment horizontal="right" vertical="center"/>
    </xf>
    <xf numFmtId="0" fontId="9" fillId="0" borderId="0" xfId="2" applyAlignment="1">
      <alignment horizontal="right"/>
    </xf>
    <xf numFmtId="38" fontId="9" fillId="0" borderId="0" xfId="2" applyNumberFormat="1" applyAlignment="1">
      <alignment horizontal="right" vertical="center"/>
    </xf>
    <xf numFmtId="38" fontId="9" fillId="0" borderId="0" xfId="2" applyNumberFormat="1" applyAlignment="1">
      <alignment horizontal="right"/>
    </xf>
    <xf numFmtId="40" fontId="10" fillId="0" borderId="0" xfId="2" applyNumberFormat="1" applyFont="1" applyAlignment="1">
      <alignment vertical="center"/>
    </xf>
    <xf numFmtId="40" fontId="27" fillId="0" borderId="0" xfId="2" applyNumberFormat="1" applyFont="1"/>
    <xf numFmtId="8" fontId="18" fillId="0" borderId="0" xfId="2" applyNumberFormat="1" applyFont="1" applyAlignment="1">
      <alignment horizontal="left" vertical="center"/>
    </xf>
    <xf numFmtId="0" fontId="16" fillId="0" borderId="0" xfId="2" applyFont="1" applyAlignment="1">
      <alignment horizontal="center"/>
    </xf>
    <xf numFmtId="8" fontId="15" fillId="0" borderId="0" xfId="2" applyNumberFormat="1" applyFont="1"/>
    <xf numFmtId="38" fontId="10" fillId="0" borderId="0" xfId="2" applyNumberFormat="1" applyFont="1" applyAlignment="1">
      <alignment horizontal="left" vertical="center"/>
    </xf>
    <xf numFmtId="38" fontId="15" fillId="0" borderId="0" xfId="2" applyNumberFormat="1" applyFont="1" applyAlignment="1">
      <alignment vertical="center"/>
    </xf>
    <xf numFmtId="38" fontId="15" fillId="0" borderId="0" xfId="2" applyNumberFormat="1" applyFont="1"/>
    <xf numFmtId="0" fontId="12" fillId="0" borderId="0" xfId="2" applyFont="1" applyAlignment="1">
      <alignment horizontal="right" vertical="center"/>
    </xf>
    <xf numFmtId="8" fontId="12" fillId="0" borderId="0" xfId="2" applyNumberFormat="1" applyFont="1" applyAlignment="1">
      <alignment vertical="center"/>
    </xf>
    <xf numFmtId="8" fontId="9" fillId="0" borderId="0" xfId="2" applyNumberFormat="1"/>
    <xf numFmtId="43" fontId="9" fillId="0" borderId="0" xfId="6" applyFont="1" applyProtection="1"/>
    <xf numFmtId="0" fontId="9" fillId="0" borderId="0" xfId="4" applyAlignment="1">
      <alignment horizontal="right" vertical="center"/>
    </xf>
    <xf numFmtId="0" fontId="18" fillId="0" borderId="0" xfId="2" applyFont="1" applyAlignment="1">
      <alignment vertical="center"/>
    </xf>
    <xf numFmtId="8" fontId="9" fillId="0" borderId="0" xfId="4" applyNumberFormat="1" applyAlignment="1">
      <alignment vertical="center"/>
    </xf>
    <xf numFmtId="0" fontId="12" fillId="0" borderId="0" xfId="4" applyFont="1" applyAlignment="1">
      <alignment horizontal="right" vertical="center"/>
    </xf>
    <xf numFmtId="8" fontId="12" fillId="0" borderId="0" xfId="4" applyNumberFormat="1" applyFont="1" applyAlignment="1">
      <alignment vertical="center"/>
    </xf>
    <xf numFmtId="0" fontId="21" fillId="0" borderId="0" xfId="2" applyFont="1" applyAlignment="1">
      <alignment horizontal="right" vertical="center"/>
    </xf>
    <xf numFmtId="8" fontId="9" fillId="0" borderId="0" xfId="2" applyNumberFormat="1" applyAlignment="1">
      <alignment vertical="center"/>
    </xf>
    <xf numFmtId="8" fontId="12" fillId="0" borderId="22" xfId="2" applyNumberFormat="1" applyFont="1" applyBorder="1" applyAlignment="1">
      <alignment vertical="center"/>
    </xf>
    <xf numFmtId="0" fontId="12" fillId="0" borderId="0" xfId="2" applyFont="1" applyAlignment="1">
      <alignment horizontal="right"/>
    </xf>
    <xf numFmtId="0" fontId="12" fillId="0" borderId="0" xfId="2" applyFont="1"/>
    <xf numFmtId="8" fontId="12" fillId="0" borderId="22" xfId="2" applyNumberFormat="1" applyFont="1" applyBorder="1"/>
    <xf numFmtId="8" fontId="12" fillId="0" borderId="0" xfId="2" applyNumberFormat="1" applyFont="1"/>
    <xf numFmtId="0" fontId="14" fillId="0" borderId="0" xfId="4" applyFont="1" applyAlignment="1">
      <alignment horizontal="right" vertical="center"/>
    </xf>
    <xf numFmtId="6" fontId="9" fillId="0" borderId="0" xfId="2" applyNumberFormat="1"/>
    <xf numFmtId="0" fontId="12" fillId="0" borderId="22" xfId="2" applyFont="1" applyBorder="1"/>
    <xf numFmtId="0" fontId="4" fillId="0" borderId="0" xfId="2" applyFont="1"/>
    <xf numFmtId="9" fontId="15" fillId="5" borderId="13" xfId="2" applyNumberFormat="1" applyFont="1" applyFill="1" applyBorder="1" applyAlignment="1">
      <alignment horizontal="left"/>
    </xf>
    <xf numFmtId="9" fontId="15" fillId="5" borderId="14" xfId="2" applyNumberFormat="1" applyFont="1" applyFill="1" applyBorder="1" applyAlignment="1">
      <alignment horizontal="left"/>
    </xf>
    <xf numFmtId="9" fontId="15" fillId="5" borderId="15" xfId="2" applyNumberFormat="1" applyFont="1" applyFill="1" applyBorder="1" applyAlignment="1">
      <alignment horizontal="left"/>
    </xf>
    <xf numFmtId="0" fontId="36" fillId="0" borderId="0" xfId="2" applyFont="1" applyAlignment="1">
      <alignment horizontal="right" vertical="center"/>
    </xf>
    <xf numFmtId="0" fontId="25" fillId="0" borderId="0" xfId="4" applyFont="1" applyAlignment="1">
      <alignment horizontal="right" vertical="center"/>
    </xf>
    <xf numFmtId="8" fontId="34" fillId="0" borderId="0" xfId="4" applyNumberFormat="1" applyFont="1" applyAlignment="1">
      <alignment vertical="center"/>
    </xf>
    <xf numFmtId="6" fontId="28" fillId="0" borderId="0" xfId="0" applyNumberFormat="1" applyFont="1"/>
    <xf numFmtId="0" fontId="2" fillId="0" borderId="0" xfId="0" applyFont="1" applyAlignment="1">
      <alignment horizontal="right"/>
    </xf>
    <xf numFmtId="0" fontId="6" fillId="0" borderId="0" xfId="0" applyFont="1" applyAlignment="1">
      <alignment horizontal="center"/>
    </xf>
    <xf numFmtId="0" fontId="2" fillId="0" borderId="0" xfId="0" applyFont="1" applyAlignment="1">
      <alignment horizontal="center" wrapText="1"/>
    </xf>
    <xf numFmtId="8" fontId="0" fillId="0" borderId="0" xfId="0" applyNumberFormat="1" applyAlignment="1">
      <alignment horizontal="center" vertical="center"/>
    </xf>
    <xf numFmtId="10" fontId="0" fillId="0" borderId="0" xfId="1" applyNumberFormat="1" applyFont="1" applyFill="1" applyBorder="1"/>
    <xf numFmtId="10" fontId="0" fillId="0" borderId="1" xfId="1" applyNumberFormat="1" applyFont="1" applyFill="1" applyBorder="1"/>
    <xf numFmtId="0" fontId="9" fillId="0" borderId="4" xfId="2" applyBorder="1"/>
    <xf numFmtId="0" fontId="9" fillId="0" borderId="5" xfId="2" applyBorder="1"/>
    <xf numFmtId="8" fontId="14" fillId="0" borderId="0" xfId="2" applyNumberFormat="1" applyFont="1" applyAlignment="1">
      <alignment vertical="center"/>
    </xf>
    <xf numFmtId="0" fontId="14" fillId="0" borderId="0" xfId="2" applyFont="1" applyAlignment="1">
      <alignment horizontal="right"/>
    </xf>
    <xf numFmtId="8" fontId="9" fillId="0" borderId="0" xfId="2" applyNumberFormat="1" applyAlignment="1">
      <alignment horizontal="center"/>
    </xf>
    <xf numFmtId="10" fontId="9" fillId="0" borderId="0" xfId="1" applyNumberFormat="1" applyFont="1" applyAlignment="1" applyProtection="1">
      <alignment horizontal="center"/>
    </xf>
    <xf numFmtId="8" fontId="9" fillId="0" borderId="21" xfId="2" applyNumberFormat="1" applyBorder="1"/>
    <xf numFmtId="8" fontId="18" fillId="0" borderId="21" xfId="2" applyNumberFormat="1" applyFont="1" applyBorder="1" applyAlignment="1">
      <alignment horizontal="left" vertical="center"/>
    </xf>
    <xf numFmtId="9" fontId="9" fillId="0" borderId="0" xfId="1" applyFont="1" applyProtection="1"/>
    <xf numFmtId="8" fontId="9" fillId="0" borderId="1" xfId="2" applyNumberFormat="1" applyBorder="1"/>
    <xf numFmtId="8" fontId="18" fillId="0" borderId="1" xfId="2" applyNumberFormat="1" applyFont="1" applyBorder="1" applyAlignment="1">
      <alignment horizontal="left" vertical="center"/>
    </xf>
    <xf numFmtId="10" fontId="15" fillId="0" borderId="0" xfId="1" applyNumberFormat="1" applyFont="1" applyFill="1" applyBorder="1" applyAlignment="1" applyProtection="1">
      <alignment vertical="center"/>
    </xf>
    <xf numFmtId="8" fontId="17" fillId="0" borderId="0" xfId="6" applyNumberFormat="1" applyFont="1" applyFill="1" applyAlignment="1" applyProtection="1">
      <alignment horizontal="left" vertical="center"/>
    </xf>
    <xf numFmtId="43" fontId="17" fillId="0" borderId="0" xfId="6" applyFont="1" applyFill="1" applyAlignment="1" applyProtection="1">
      <alignment horizontal="left" vertical="center"/>
    </xf>
    <xf numFmtId="8" fontId="17" fillId="0" borderId="0" xfId="2" applyNumberFormat="1" applyFont="1" applyAlignment="1">
      <alignment horizontal="left" vertical="center"/>
    </xf>
    <xf numFmtId="8" fontId="37" fillId="0" borderId="0" xfId="2" applyNumberFormat="1" applyFont="1" applyAlignment="1">
      <alignment horizontal="left" vertical="center"/>
    </xf>
    <xf numFmtId="43" fontId="9" fillId="0" borderId="0" xfId="6" applyFont="1" applyFill="1" applyProtection="1"/>
    <xf numFmtId="0" fontId="12" fillId="0" borderId="1" xfId="2" applyFont="1" applyBorder="1" applyAlignment="1">
      <alignment horizontal="right" vertical="center"/>
    </xf>
    <xf numFmtId="0" fontId="12" fillId="0" borderId="1" xfId="4" applyFont="1" applyBorder="1" applyAlignment="1">
      <alignment horizontal="right" vertical="center"/>
    </xf>
    <xf numFmtId="8" fontId="12" fillId="0" borderId="1" xfId="4" applyNumberFormat="1" applyFont="1" applyBorder="1" applyAlignment="1">
      <alignment vertical="center"/>
    </xf>
    <xf numFmtId="8" fontId="20" fillId="0" borderId="0" xfId="1" applyNumberFormat="1" applyFont="1" applyFill="1" applyAlignment="1" applyProtection="1">
      <alignment vertical="center"/>
    </xf>
    <xf numFmtId="8" fontId="20" fillId="0" borderId="0" xfId="1" applyNumberFormat="1" applyFont="1" applyFill="1" applyAlignment="1" applyProtection="1">
      <alignment horizontal="right" vertical="center" indent="1"/>
    </xf>
    <xf numFmtId="0" fontId="12" fillId="0" borderId="21" xfId="4" applyFont="1" applyBorder="1" applyAlignment="1">
      <alignment horizontal="right" vertical="center"/>
    </xf>
    <xf numFmtId="8" fontId="9" fillId="6" borderId="0" xfId="2" applyNumberFormat="1" applyFill="1"/>
    <xf numFmtId="44" fontId="9" fillId="0" borderId="0" xfId="5" applyFont="1" applyProtection="1"/>
    <xf numFmtId="8" fontId="20" fillId="0" borderId="0" xfId="1" applyNumberFormat="1" applyFont="1" applyFill="1" applyBorder="1" applyAlignment="1" applyProtection="1">
      <alignment horizontal="right" vertical="center" indent="1"/>
    </xf>
    <xf numFmtId="8" fontId="38" fillId="0" borderId="0" xfId="2" applyNumberFormat="1" applyFont="1" applyAlignment="1">
      <alignment horizontal="left" vertical="center"/>
    </xf>
    <xf numFmtId="0" fontId="13" fillId="0" borderId="0" xfId="2" applyFont="1"/>
    <xf numFmtId="0" fontId="0" fillId="3" borderId="9" xfId="0" applyFill="1" applyBorder="1" applyAlignment="1">
      <alignment horizontal="left" vertical="center"/>
    </xf>
    <xf numFmtId="0" fontId="0" fillId="3" borderId="7" xfId="0" applyFill="1" applyBorder="1" applyAlignment="1">
      <alignment horizontal="center" vertical="center"/>
    </xf>
    <xf numFmtId="0" fontId="0" fillId="0" borderId="0" xfId="0" applyAlignment="1">
      <alignment horizontal="left" vertical="center"/>
    </xf>
    <xf numFmtId="14" fontId="0" fillId="8" borderId="7" xfId="0" applyNumberFormat="1" applyFill="1" applyBorder="1" applyAlignment="1">
      <alignment horizontal="center"/>
    </xf>
    <xf numFmtId="0" fontId="0" fillId="0" borderId="12" xfId="0" applyBorder="1" applyAlignment="1">
      <alignment horizontal="left" vertical="center"/>
    </xf>
    <xf numFmtId="0" fontId="2" fillId="12" borderId="4" xfId="0" applyFont="1" applyFill="1" applyBorder="1" applyAlignment="1">
      <alignment horizontal="center"/>
    </xf>
    <xf numFmtId="0" fontId="13" fillId="0" borderId="4" xfId="2" applyFont="1" applyBorder="1" applyAlignment="1">
      <alignment horizontal="center"/>
    </xf>
    <xf numFmtId="8" fontId="4" fillId="0" borderId="0" xfId="2" applyNumberFormat="1" applyFont="1" applyAlignment="1">
      <alignment vertical="center"/>
    </xf>
    <xf numFmtId="8" fontId="15" fillId="0" borderId="0" xfId="2" applyNumberFormat="1" applyFont="1" applyAlignment="1">
      <alignment horizontal="right" vertical="center"/>
    </xf>
    <xf numFmtId="8" fontId="15" fillId="0" borderId="22" xfId="2" applyNumberFormat="1" applyFont="1" applyBorder="1" applyAlignment="1">
      <alignment horizontal="right" vertical="center"/>
    </xf>
    <xf numFmtId="8" fontId="15" fillId="0" borderId="4" xfId="2" applyNumberFormat="1" applyFont="1" applyBorder="1" applyAlignment="1">
      <alignment horizontal="right" vertical="center"/>
    </xf>
    <xf numFmtId="8" fontId="14" fillId="0" borderId="0" xfId="4" applyNumberFormat="1" applyFont="1" applyAlignment="1">
      <alignment vertical="center"/>
    </xf>
    <xf numFmtId="8" fontId="12" fillId="0" borderId="0" xfId="4" applyNumberFormat="1" applyFont="1" applyAlignment="1">
      <alignment horizontal="right" vertical="center" indent="1"/>
    </xf>
    <xf numFmtId="8" fontId="12" fillId="0" borderId="21" xfId="4" applyNumberFormat="1" applyFont="1" applyBorder="1" applyAlignment="1">
      <alignment vertical="center"/>
    </xf>
    <xf numFmtId="10" fontId="14" fillId="0" borderId="0" xfId="3" applyNumberFormat="1" applyFont="1" applyBorder="1" applyAlignment="1" applyProtection="1">
      <alignment horizontal="center" vertical="center"/>
    </xf>
    <xf numFmtId="8" fontId="28" fillId="0" borderId="0" xfId="0" applyNumberFormat="1" applyFont="1"/>
    <xf numFmtId="10" fontId="4" fillId="13" borderId="30" xfId="3" applyNumberFormat="1" applyFont="1" applyFill="1" applyBorder="1" applyAlignment="1" applyProtection="1">
      <alignment vertical="center"/>
      <protection locked="0"/>
    </xf>
    <xf numFmtId="8" fontId="4" fillId="13" borderId="30" xfId="2" applyNumberFormat="1" applyFont="1" applyFill="1" applyBorder="1" applyAlignment="1" applyProtection="1">
      <alignment horizontal="right" vertical="center" indent="1"/>
      <protection locked="0"/>
    </xf>
    <xf numFmtId="8" fontId="4" fillId="13" borderId="30" xfId="2" applyNumberFormat="1" applyFont="1" applyFill="1" applyBorder="1" applyAlignment="1" applyProtection="1">
      <alignment vertical="center"/>
      <protection locked="0"/>
    </xf>
    <xf numFmtId="0" fontId="16" fillId="13" borderId="25" xfId="2" applyFont="1" applyFill="1" applyBorder="1" applyAlignment="1" applyProtection="1">
      <alignment horizontal="center" vertical="center"/>
      <protection locked="0"/>
    </xf>
    <xf numFmtId="8" fontId="4" fillId="13" borderId="32" xfId="2" applyNumberFormat="1" applyFont="1" applyFill="1" applyBorder="1" applyAlignment="1" applyProtection="1">
      <alignment vertical="center"/>
      <protection locked="0"/>
    </xf>
    <xf numFmtId="8" fontId="4" fillId="13" borderId="31" xfId="2" applyNumberFormat="1" applyFont="1" applyFill="1" applyBorder="1" applyAlignment="1" applyProtection="1">
      <alignment vertical="center"/>
      <protection locked="0"/>
    </xf>
    <xf numFmtId="0" fontId="41" fillId="13" borderId="42" xfId="2" applyFont="1" applyFill="1" applyBorder="1" applyAlignment="1" applyProtection="1">
      <alignment horizontal="center"/>
      <protection locked="0"/>
    </xf>
    <xf numFmtId="8" fontId="4" fillId="13" borderId="43" xfId="2" applyNumberFormat="1" applyFont="1" applyFill="1" applyBorder="1" applyAlignment="1" applyProtection="1">
      <alignment vertical="center"/>
      <protection locked="0"/>
    </xf>
    <xf numFmtId="8" fontId="4" fillId="13" borderId="44" xfId="2" applyNumberFormat="1" applyFont="1" applyFill="1" applyBorder="1" applyAlignment="1" applyProtection="1">
      <alignment vertical="center"/>
      <protection locked="0"/>
    </xf>
    <xf numFmtId="8" fontId="39" fillId="0" borderId="0" xfId="1" applyNumberFormat="1" applyFont="1" applyFill="1" applyAlignment="1" applyProtection="1">
      <alignment horizontal="right" vertical="center"/>
    </xf>
    <xf numFmtId="8" fontId="15" fillId="0" borderId="0" xfId="1" applyNumberFormat="1" applyFont="1" applyFill="1" applyAlignment="1" applyProtection="1">
      <alignment horizontal="right" vertical="center"/>
    </xf>
    <xf numFmtId="8" fontId="14" fillId="0" borderId="22" xfId="4" applyNumberFormat="1" applyFont="1" applyBorder="1" applyAlignment="1">
      <alignment horizontal="right" vertical="center"/>
    </xf>
    <xf numFmtId="0" fontId="18" fillId="0" borderId="0" xfId="2" quotePrefix="1" applyFont="1" applyAlignment="1">
      <alignment vertical="center"/>
    </xf>
    <xf numFmtId="8" fontId="18" fillId="0" borderId="0" xfId="2" applyNumberFormat="1" applyFont="1"/>
    <xf numFmtId="8" fontId="18" fillId="0" borderId="0" xfId="2" quotePrefix="1" applyNumberFormat="1" applyFont="1"/>
    <xf numFmtId="0" fontId="9" fillId="0" borderId="0" xfId="2" quotePrefix="1"/>
    <xf numFmtId="9" fontId="15" fillId="0" borderId="0" xfId="3" applyFont="1" applyFill="1" applyBorder="1" applyAlignment="1" applyProtection="1">
      <alignment vertical="center"/>
    </xf>
    <xf numFmtId="8" fontId="14" fillId="0" borderId="0" xfId="2" applyNumberFormat="1" applyFont="1" applyAlignment="1">
      <alignment horizontal="right" vertical="center" indent="1"/>
    </xf>
    <xf numFmtId="8" fontId="9" fillId="6" borderId="0" xfId="2" applyNumberFormat="1" applyFill="1" applyAlignment="1">
      <alignment vertical="center"/>
    </xf>
    <xf numFmtId="0" fontId="15" fillId="6" borderId="0" xfId="2" applyFont="1" applyFill="1" applyAlignment="1">
      <alignment horizontal="right" vertical="center"/>
    </xf>
    <xf numFmtId="0" fontId="9" fillId="6" borderId="0" xfId="2" applyFill="1" applyAlignment="1">
      <alignment horizontal="right" vertical="center"/>
    </xf>
    <xf numFmtId="38" fontId="9" fillId="6" borderId="0" xfId="2" applyNumberFormat="1" applyFill="1" applyAlignment="1">
      <alignment horizontal="right" vertical="center"/>
    </xf>
    <xf numFmtId="9" fontId="4" fillId="6" borderId="0" xfId="3" applyFont="1" applyFill="1" applyBorder="1" applyAlignment="1" applyProtection="1">
      <alignment vertical="center"/>
    </xf>
    <xf numFmtId="8" fontId="15" fillId="6" borderId="0" xfId="2" applyNumberFormat="1" applyFont="1" applyFill="1" applyAlignment="1">
      <alignment vertical="center"/>
    </xf>
    <xf numFmtId="38" fontId="15" fillId="6" borderId="0" xfId="2" applyNumberFormat="1" applyFont="1" applyFill="1" applyAlignment="1">
      <alignment vertical="center"/>
    </xf>
    <xf numFmtId="8" fontId="12" fillId="0" borderId="0" xfId="2" quotePrefix="1" applyNumberFormat="1" applyFont="1" applyAlignment="1">
      <alignment vertical="center"/>
    </xf>
    <xf numFmtId="8" fontId="18" fillId="0" borderId="0" xfId="2" applyNumberFormat="1" applyFont="1" applyAlignment="1">
      <alignment horizontal="left"/>
    </xf>
    <xf numFmtId="8" fontId="9" fillId="0" borderId="0" xfId="2" quotePrefix="1" applyNumberFormat="1" applyAlignment="1">
      <alignment vertical="center"/>
    </xf>
    <xf numFmtId="8" fontId="18" fillId="0" borderId="0" xfId="2" applyNumberFormat="1" applyFont="1" applyAlignment="1">
      <alignment vertical="center"/>
    </xf>
    <xf numFmtId="0" fontId="18" fillId="0" borderId="0" xfId="2" applyFont="1" applyAlignment="1">
      <alignment horizontal="left" vertical="center"/>
    </xf>
    <xf numFmtId="8" fontId="18" fillId="0" borderId="0" xfId="2" quotePrefix="1" applyNumberFormat="1" applyFont="1" applyAlignment="1">
      <alignment horizontal="left" vertical="center"/>
    </xf>
    <xf numFmtId="8" fontId="39" fillId="0" borderId="0" xfId="1" applyNumberFormat="1" applyFont="1" applyFill="1" applyBorder="1" applyAlignment="1" applyProtection="1">
      <alignment horizontal="right" vertical="center" indent="1"/>
    </xf>
    <xf numFmtId="8" fontId="39" fillId="0" borderId="0" xfId="1" applyNumberFormat="1" applyFont="1" applyFill="1" applyBorder="1" applyAlignment="1" applyProtection="1">
      <alignment horizontal="right" vertical="center"/>
    </xf>
    <xf numFmtId="0" fontId="0" fillId="9" borderId="7" xfId="0" applyFill="1" applyBorder="1" applyAlignment="1">
      <alignment horizontal="left" vertical="center"/>
    </xf>
    <xf numFmtId="0" fontId="0" fillId="9" borderId="7" xfId="0" applyFill="1" applyBorder="1" applyAlignment="1">
      <alignment horizontal="center" vertical="center"/>
    </xf>
    <xf numFmtId="0" fontId="0" fillId="8" borderId="7" xfId="0" applyFill="1" applyBorder="1" applyAlignment="1">
      <alignment horizontal="right" vertical="center"/>
    </xf>
    <xf numFmtId="0" fontId="2" fillId="14" borderId="4" xfId="0" applyFont="1" applyFill="1" applyBorder="1" applyAlignment="1">
      <alignment horizontal="center"/>
    </xf>
    <xf numFmtId="0" fontId="0" fillId="8" borderId="7" xfId="0" applyFill="1" applyBorder="1" applyAlignment="1">
      <alignment horizontal="left" vertical="center"/>
    </xf>
    <xf numFmtId="0" fontId="0" fillId="8" borderId="7" xfId="0" applyFill="1" applyBorder="1" applyAlignment="1">
      <alignment horizontal="center" vertical="center"/>
    </xf>
    <xf numFmtId="0" fontId="0" fillId="9" borderId="4" xfId="0" applyFill="1" applyBorder="1" applyAlignment="1">
      <alignment horizontal="center" vertical="center"/>
    </xf>
    <xf numFmtId="0" fontId="0" fillId="15" borderId="5" xfId="0" applyFill="1" applyBorder="1" applyAlignment="1">
      <alignment horizontal="left" vertical="center"/>
    </xf>
    <xf numFmtId="0" fontId="0" fillId="15" borderId="7" xfId="0" applyFill="1" applyBorder="1" applyAlignment="1">
      <alignment horizontal="left" vertical="center"/>
    </xf>
    <xf numFmtId="0" fontId="0" fillId="15" borderId="5" xfId="0" applyFill="1" applyBorder="1" applyAlignment="1">
      <alignment horizontal="center" vertical="center"/>
    </xf>
    <xf numFmtId="0" fontId="0" fillId="15" borderId="7" xfId="0" applyFill="1" applyBorder="1" applyAlignment="1">
      <alignment horizontal="center" vertical="center"/>
    </xf>
    <xf numFmtId="165" fontId="0" fillId="15" borderId="7" xfId="0" applyNumberFormat="1" applyFill="1" applyBorder="1" applyAlignment="1">
      <alignment horizontal="center" vertical="center"/>
    </xf>
    <xf numFmtId="0" fontId="0" fillId="15" borderId="7" xfId="0" applyFill="1" applyBorder="1" applyAlignment="1">
      <alignment horizontal="right" vertical="center"/>
    </xf>
    <xf numFmtId="0" fontId="0" fillId="8" borderId="0" xfId="0" applyFill="1" applyAlignment="1">
      <alignment horizontal="right" vertical="center"/>
    </xf>
    <xf numFmtId="6" fontId="3" fillId="2" borderId="23" xfId="0" applyNumberFormat="1" applyFont="1" applyFill="1" applyBorder="1" applyAlignment="1" applyProtection="1">
      <alignment horizontal="center" vertical="center"/>
      <protection locked="0"/>
    </xf>
    <xf numFmtId="0" fontId="3" fillId="2" borderId="24" xfId="0" applyFont="1" applyFill="1" applyBorder="1" applyAlignment="1" applyProtection="1">
      <alignment horizontal="center" vertical="center"/>
      <protection locked="0"/>
    </xf>
    <xf numFmtId="8" fontId="0" fillId="0" borderId="12" xfId="0" applyNumberFormat="1" applyBorder="1" applyAlignment="1">
      <alignment horizontal="center" vertical="center"/>
    </xf>
    <xf numFmtId="6" fontId="0" fillId="0" borderId="12" xfId="0" applyNumberFormat="1" applyBorder="1" applyAlignment="1">
      <alignment horizontal="center" vertical="center"/>
    </xf>
    <xf numFmtId="10" fontId="0" fillId="0" borderId="12" xfId="1" applyNumberFormat="1" applyFont="1" applyFill="1" applyBorder="1" applyAlignment="1" applyProtection="1">
      <alignment horizontal="center" vertical="center"/>
    </xf>
    <xf numFmtId="9" fontId="0" fillId="0" borderId="0" xfId="1" applyFont="1" applyFill="1" applyBorder="1" applyAlignment="1">
      <alignment horizontal="center" vertical="center"/>
    </xf>
    <xf numFmtId="0" fontId="0" fillId="3" borderId="1" xfId="0" applyFill="1" applyBorder="1" applyAlignment="1">
      <alignment horizontal="left" vertical="center"/>
    </xf>
    <xf numFmtId="0" fontId="0" fillId="0" borderId="0" xfId="0" applyAlignment="1">
      <alignment horizontal="right"/>
    </xf>
    <xf numFmtId="0" fontId="3" fillId="16" borderId="0" xfId="0" applyFont="1" applyFill="1"/>
    <xf numFmtId="168" fontId="0" fillId="0" borderId="0" xfId="5" applyNumberFormat="1" applyFont="1" applyFill="1"/>
    <xf numFmtId="168" fontId="0" fillId="0" borderId="1" xfId="5" applyNumberFormat="1" applyFont="1" applyFill="1" applyBorder="1"/>
    <xf numFmtId="168" fontId="0" fillId="0" borderId="0" xfId="5" applyNumberFormat="1" applyFont="1" applyAlignment="1">
      <alignment horizontal="center"/>
    </xf>
    <xf numFmtId="0" fontId="2" fillId="17" borderId="0" xfId="0" applyFont="1" applyFill="1" applyAlignment="1">
      <alignment horizontal="center"/>
    </xf>
    <xf numFmtId="0" fontId="2" fillId="18" borderId="0" xfId="0" applyFont="1" applyFill="1" applyAlignment="1">
      <alignment horizontal="center"/>
    </xf>
    <xf numFmtId="0" fontId="0" fillId="19" borderId="0" xfId="0" applyFill="1"/>
    <xf numFmtId="0" fontId="0" fillId="11" borderId="0" xfId="0" applyFill="1" applyAlignment="1">
      <alignment horizontal="left" vertical="top" wrapText="1"/>
    </xf>
    <xf numFmtId="0" fontId="0" fillId="11" borderId="0" xfId="0" applyFill="1" applyAlignment="1">
      <alignment horizontal="right"/>
    </xf>
    <xf numFmtId="9" fontId="0" fillId="11" borderId="0" xfId="1" applyFont="1" applyFill="1"/>
    <xf numFmtId="165" fontId="0" fillId="7" borderId="0" xfId="0" applyNumberFormat="1" applyFill="1" applyAlignment="1">
      <alignment horizontal="center" vertical="center"/>
    </xf>
    <xf numFmtId="0" fontId="2" fillId="20" borderId="0" xfId="0" applyFont="1" applyFill="1" applyAlignment="1">
      <alignment horizontal="center"/>
    </xf>
    <xf numFmtId="0" fontId="12" fillId="0" borderId="1" xfId="2" applyFont="1" applyBorder="1"/>
    <xf numFmtId="0" fontId="29" fillId="0" borderId="0" xfId="0" applyFont="1" applyAlignment="1">
      <alignment horizontal="left"/>
    </xf>
    <xf numFmtId="170" fontId="0" fillId="0" borderId="0" xfId="6" applyNumberFormat="1" applyFont="1"/>
    <xf numFmtId="0" fontId="24" fillId="0" borderId="0" xfId="0" applyFont="1"/>
    <xf numFmtId="171" fontId="0" fillId="0" borderId="0" xfId="0" applyNumberFormat="1" applyAlignment="1">
      <alignment horizontal="center" vertical="center" wrapText="1"/>
    </xf>
    <xf numFmtId="0" fontId="9" fillId="0" borderId="25" xfId="4" applyBorder="1" applyAlignment="1">
      <alignment horizontal="right" vertical="center"/>
    </xf>
    <xf numFmtId="8" fontId="28" fillId="0" borderId="12" xfId="0" applyNumberFormat="1" applyFont="1" applyBorder="1" applyAlignment="1">
      <alignment horizontal="center"/>
    </xf>
    <xf numFmtId="8" fontId="9" fillId="0" borderId="0" xfId="2" quotePrefix="1" applyNumberFormat="1"/>
    <xf numFmtId="6" fontId="39" fillId="0" borderId="37" xfId="0" applyNumberFormat="1" applyFont="1" applyBorder="1" applyAlignment="1">
      <alignment horizontal="right" vertical="center"/>
    </xf>
    <xf numFmtId="0" fontId="40" fillId="0" borderId="34" xfId="2" applyFont="1" applyBorder="1" applyAlignment="1">
      <alignment horizontal="right"/>
    </xf>
    <xf numFmtId="6" fontId="39" fillId="0" borderId="37" xfId="2" applyNumberFormat="1" applyFont="1" applyBorder="1"/>
    <xf numFmtId="38" fontId="41" fillId="21" borderId="39" xfId="2" applyNumberFormat="1" applyFont="1" applyFill="1" applyBorder="1" applyProtection="1">
      <protection locked="0"/>
    </xf>
    <xf numFmtId="6" fontId="41" fillId="21" borderId="33" xfId="0" applyNumberFormat="1" applyFont="1" applyFill="1" applyBorder="1" applyAlignment="1" applyProtection="1">
      <alignment horizontal="right" vertical="center"/>
      <protection locked="0"/>
    </xf>
    <xf numFmtId="6" fontId="41" fillId="21" borderId="41" xfId="0" applyNumberFormat="1" applyFont="1" applyFill="1" applyBorder="1" applyAlignment="1" applyProtection="1">
      <alignment horizontal="right" vertical="center"/>
      <protection locked="0"/>
    </xf>
    <xf numFmtId="0" fontId="0" fillId="7" borderId="0" xfId="0" applyFill="1" applyAlignment="1">
      <alignment horizontal="right" vertical="center"/>
    </xf>
    <xf numFmtId="0" fontId="2" fillId="0" borderId="0" xfId="0" applyFont="1" applyAlignment="1">
      <alignment horizontal="right" vertical="center"/>
    </xf>
    <xf numFmtId="8" fontId="2" fillId="0" borderId="0" xfId="0" applyNumberFormat="1" applyFont="1" applyAlignment="1">
      <alignment horizontal="center" vertical="center"/>
    </xf>
    <xf numFmtId="8" fontId="2" fillId="0" borderId="46" xfId="0" applyNumberFormat="1" applyFont="1" applyBorder="1" applyAlignment="1">
      <alignment horizontal="center" vertical="center"/>
    </xf>
    <xf numFmtId="6" fontId="22" fillId="0" borderId="0" xfId="0" applyNumberFormat="1" applyFont="1" applyAlignment="1">
      <alignment horizontal="center" wrapText="1"/>
    </xf>
    <xf numFmtId="171" fontId="2" fillId="0" borderId="0" xfId="0" applyNumberFormat="1" applyFont="1" applyAlignment="1">
      <alignment horizontal="center" wrapText="1"/>
    </xf>
    <xf numFmtId="0" fontId="9" fillId="0" borderId="0" xfId="2" applyAlignment="1">
      <alignment vertical="center"/>
    </xf>
    <xf numFmtId="0" fontId="46" fillId="0" borderId="0" xfId="2" applyFont="1" applyAlignment="1">
      <alignment vertical="center"/>
    </xf>
    <xf numFmtId="8" fontId="46" fillId="0" borderId="0" xfId="2" applyNumberFormat="1" applyFont="1" applyAlignment="1">
      <alignment vertical="center"/>
    </xf>
    <xf numFmtId="0" fontId="46" fillId="0" borderId="1" xfId="2" applyFont="1" applyBorder="1" applyAlignment="1">
      <alignment vertical="center"/>
    </xf>
    <xf numFmtId="8" fontId="46" fillId="0" borderId="1" xfId="2" applyNumberFormat="1" applyFont="1" applyBorder="1" applyAlignment="1">
      <alignment vertical="center"/>
    </xf>
    <xf numFmtId="0" fontId="12" fillId="0" borderId="0" xfId="2" applyFont="1" applyAlignment="1">
      <alignment vertical="center"/>
    </xf>
    <xf numFmtId="0" fontId="12" fillId="0" borderId="45" xfId="2" applyFont="1" applyBorder="1" applyAlignment="1">
      <alignment vertical="center"/>
    </xf>
    <xf numFmtId="8" fontId="12" fillId="0" borderId="45" xfId="2" applyNumberFormat="1" applyFont="1" applyBorder="1" applyAlignment="1">
      <alignment vertical="center"/>
    </xf>
    <xf numFmtId="0" fontId="9" fillId="0" borderId="0" xfId="2" applyAlignment="1">
      <alignment horizontal="left" vertical="center" wrapText="1"/>
    </xf>
    <xf numFmtId="0" fontId="9" fillId="0" borderId="4" xfId="2" applyBorder="1" applyAlignment="1">
      <alignment vertical="center"/>
    </xf>
    <xf numFmtId="8" fontId="9" fillId="0" borderId="4" xfId="2" applyNumberFormat="1" applyBorder="1" applyAlignment="1">
      <alignment vertical="center"/>
    </xf>
    <xf numFmtId="0" fontId="46" fillId="0" borderId="0" xfId="2" applyFont="1"/>
    <xf numFmtId="8" fontId="46" fillId="0" borderId="0" xfId="2" applyNumberFormat="1" applyFont="1"/>
    <xf numFmtId="8" fontId="12" fillId="0" borderId="4" xfId="2" applyNumberFormat="1" applyFont="1" applyBorder="1" applyAlignment="1">
      <alignment vertical="center"/>
    </xf>
    <xf numFmtId="0" fontId="40" fillId="0" borderId="35" xfId="2" applyFont="1" applyBorder="1" applyAlignment="1">
      <alignment horizontal="right"/>
    </xf>
    <xf numFmtId="6" fontId="39" fillId="0" borderId="36" xfId="2" applyNumberFormat="1" applyFont="1" applyBorder="1"/>
    <xf numFmtId="6" fontId="39" fillId="0" borderId="38" xfId="2" applyNumberFormat="1" applyFont="1" applyBorder="1"/>
    <xf numFmtId="38" fontId="9" fillId="0" borderId="40" xfId="2" applyNumberFormat="1" applyBorder="1"/>
    <xf numFmtId="8" fontId="43" fillId="0" borderId="0" xfId="2" applyNumberFormat="1" applyFont="1" applyAlignment="1">
      <alignment horizontal="left" vertical="center"/>
    </xf>
    <xf numFmtId="8" fontId="18" fillId="22" borderId="0" xfId="2" applyNumberFormat="1" applyFont="1" applyFill="1" applyAlignment="1">
      <alignment horizontal="left" vertical="center"/>
    </xf>
    <xf numFmtId="0" fontId="43" fillId="22" borderId="0" xfId="2" applyFont="1" applyFill="1" applyAlignment="1">
      <alignment vertical="center"/>
    </xf>
    <xf numFmtId="8" fontId="15" fillId="22" borderId="0" xfId="2" applyNumberFormat="1" applyFont="1" applyFill="1"/>
    <xf numFmtId="8" fontId="12" fillId="22" borderId="0" xfId="2" applyNumberFormat="1" applyFont="1" applyFill="1" applyAlignment="1">
      <alignment vertical="center"/>
    </xf>
    <xf numFmtId="8" fontId="39" fillId="22" borderId="32" xfId="2" applyNumberFormat="1" applyFont="1" applyFill="1" applyBorder="1" applyAlignment="1">
      <alignment vertical="center"/>
    </xf>
    <xf numFmtId="8" fontId="39" fillId="22" borderId="0" xfId="4" applyNumberFormat="1" applyFont="1" applyFill="1" applyAlignment="1">
      <alignment vertical="center"/>
    </xf>
    <xf numFmtId="0" fontId="9" fillId="22" borderId="0" xfId="2" applyFill="1" applyAlignment="1">
      <alignment horizontal="right" vertical="center"/>
    </xf>
    <xf numFmtId="0" fontId="12" fillId="22" borderId="0" xfId="4" applyFont="1" applyFill="1" applyAlignment="1">
      <alignment horizontal="right" vertical="center"/>
    </xf>
    <xf numFmtId="8" fontId="15" fillId="22" borderId="0" xfId="2" applyNumberFormat="1" applyFont="1" applyFill="1" applyAlignment="1">
      <alignment horizontal="right" vertical="center"/>
    </xf>
    <xf numFmtId="8" fontId="12" fillId="22" borderId="0" xfId="4" applyNumberFormat="1" applyFont="1" applyFill="1" applyAlignment="1">
      <alignment vertical="center"/>
    </xf>
    <xf numFmtId="0" fontId="14" fillId="22" borderId="0" xfId="2" applyFont="1" applyFill="1" applyAlignment="1">
      <alignment horizontal="right" vertical="center"/>
    </xf>
    <xf numFmtId="0" fontId="18" fillId="22" borderId="0" xfId="2" applyFont="1" applyFill="1" applyAlignment="1">
      <alignment vertical="center"/>
    </xf>
    <xf numFmtId="8" fontId="9" fillId="22" borderId="0" xfId="2" applyNumberFormat="1" applyFill="1" applyAlignment="1">
      <alignment vertical="center"/>
    </xf>
    <xf numFmtId="8" fontId="43" fillId="22" borderId="0" xfId="2" applyNumberFormat="1" applyFont="1" applyFill="1" applyAlignment="1">
      <alignment vertical="center"/>
    </xf>
    <xf numFmtId="8" fontId="18" fillId="22" borderId="0" xfId="2" applyNumberFormat="1" applyFont="1" applyFill="1" applyAlignment="1">
      <alignment vertical="center"/>
    </xf>
    <xf numFmtId="6" fontId="39" fillId="0" borderId="26" xfId="2" applyNumberFormat="1" applyFont="1" applyBorder="1" applyAlignment="1">
      <alignment vertical="center"/>
    </xf>
    <xf numFmtId="6" fontId="39" fillId="0" borderId="36" xfId="2" applyNumberFormat="1" applyFont="1" applyBorder="1" applyAlignment="1">
      <alignment vertical="center"/>
    </xf>
    <xf numFmtId="6" fontId="39" fillId="0" borderId="29" xfId="2" applyNumberFormat="1" applyFont="1" applyBorder="1" applyAlignment="1">
      <alignment vertical="center"/>
    </xf>
    <xf numFmtId="6" fontId="39" fillId="0" borderId="37" xfId="2" applyNumberFormat="1" applyFont="1" applyBorder="1" applyAlignment="1">
      <alignment vertical="center"/>
    </xf>
    <xf numFmtId="38" fontId="41" fillId="21" borderId="39" xfId="2" applyNumberFormat="1" applyFont="1" applyFill="1" applyBorder="1" applyAlignment="1" applyProtection="1">
      <alignment vertical="center"/>
      <protection locked="0"/>
    </xf>
    <xf numFmtId="38" fontId="9" fillId="0" borderId="9" xfId="2" applyNumberFormat="1" applyBorder="1" applyAlignment="1">
      <alignment vertical="center"/>
    </xf>
    <xf numFmtId="0" fontId="40" fillId="0" borderId="4" xfId="2" applyFont="1" applyBorder="1" applyAlignment="1">
      <alignment horizontal="right" vertical="center"/>
    </xf>
    <xf numFmtId="0" fontId="40" fillId="0" borderId="5" xfId="2" applyFont="1" applyBorder="1" applyAlignment="1">
      <alignment horizontal="right" vertical="center"/>
    </xf>
    <xf numFmtId="0" fontId="44" fillId="0" borderId="0" xfId="2" applyFont="1" applyAlignment="1">
      <alignment wrapText="1"/>
    </xf>
    <xf numFmtId="0" fontId="40" fillId="0" borderId="47" xfId="2" applyFont="1" applyBorder="1" applyAlignment="1">
      <alignment horizontal="right"/>
    </xf>
    <xf numFmtId="0" fontId="13" fillId="0" borderId="3" xfId="2" applyFont="1" applyBorder="1" applyAlignment="1">
      <alignment vertical="center"/>
    </xf>
    <xf numFmtId="0" fontId="39" fillId="0" borderId="27" xfId="2" applyFont="1" applyBorder="1" applyAlignment="1">
      <alignment vertical="center"/>
    </xf>
    <xf numFmtId="0" fontId="39" fillId="0" borderId="28" xfId="2" applyFont="1" applyBorder="1" applyAlignment="1">
      <alignment vertical="center"/>
    </xf>
    <xf numFmtId="0" fontId="9" fillId="0" borderId="8" xfId="2" applyBorder="1" applyAlignment="1">
      <alignment vertical="center"/>
    </xf>
    <xf numFmtId="0" fontId="9" fillId="0" borderId="0" xfId="2" applyAlignment="1">
      <alignment horizontal="right" wrapText="1"/>
    </xf>
    <xf numFmtId="6" fontId="39" fillId="0" borderId="48" xfId="2" applyNumberFormat="1" applyFont="1" applyBorder="1" applyAlignment="1">
      <alignment vertical="center"/>
    </xf>
    <xf numFmtId="38" fontId="9" fillId="0" borderId="49" xfId="2" applyNumberFormat="1" applyBorder="1" applyAlignment="1">
      <alignment vertical="center"/>
    </xf>
    <xf numFmtId="0" fontId="13" fillId="0" borderId="3" xfId="2" applyFont="1" applyBorder="1"/>
    <xf numFmtId="0" fontId="39" fillId="0" borderId="27" xfId="2" applyFont="1" applyBorder="1"/>
    <xf numFmtId="0" fontId="39" fillId="0" borderId="28" xfId="2" applyFont="1" applyBorder="1"/>
    <xf numFmtId="0" fontId="9" fillId="0" borderId="8" xfId="2" applyBorder="1"/>
    <xf numFmtId="0" fontId="0" fillId="23" borderId="0" xfId="0" applyFill="1"/>
    <xf numFmtId="165" fontId="0" fillId="0" borderId="12" xfId="0" applyNumberFormat="1" applyBorder="1" applyAlignment="1">
      <alignment horizontal="center" vertical="center"/>
    </xf>
    <xf numFmtId="0" fontId="0" fillId="0" borderId="11" xfId="0" applyBorder="1" applyAlignment="1">
      <alignment horizontal="left" vertical="center"/>
    </xf>
    <xf numFmtId="0" fontId="3" fillId="2" borderId="2" xfId="0" applyFont="1" applyFill="1" applyBorder="1" applyAlignment="1" applyProtection="1">
      <alignment horizontal="left" wrapText="1"/>
      <protection locked="0"/>
    </xf>
    <xf numFmtId="0" fontId="2" fillId="0" borderId="1" xfId="0" applyFont="1" applyBorder="1" applyAlignment="1">
      <alignment horizontal="center"/>
    </xf>
    <xf numFmtId="0" fontId="3" fillId="2" borderId="2" xfId="0" applyFont="1" applyFill="1" applyBorder="1" applyAlignment="1" applyProtection="1">
      <alignment horizontal="center"/>
      <protection locked="0"/>
    </xf>
    <xf numFmtId="0" fontId="2" fillId="0" borderId="0" xfId="0" applyFont="1" applyAlignment="1">
      <alignment horizontal="left" wrapText="1"/>
    </xf>
    <xf numFmtId="0" fontId="2" fillId="0" borderId="0" xfId="0" applyFont="1" applyAlignment="1">
      <alignment horizontal="left"/>
    </xf>
    <xf numFmtId="0" fontId="2" fillId="7" borderId="16" xfId="0" applyFont="1" applyFill="1" applyBorder="1" applyAlignment="1">
      <alignment horizontal="center" vertical="center"/>
    </xf>
    <xf numFmtId="0" fontId="2" fillId="7" borderId="10" xfId="0" applyFont="1" applyFill="1" applyBorder="1" applyAlignment="1">
      <alignment horizontal="center" vertical="center"/>
    </xf>
    <xf numFmtId="0" fontId="2" fillId="7" borderId="17" xfId="0" applyFont="1" applyFill="1" applyBorder="1" applyAlignment="1">
      <alignment horizontal="center" vertical="center"/>
    </xf>
    <xf numFmtId="0" fontId="2" fillId="7" borderId="16" xfId="0" applyFont="1" applyFill="1" applyBorder="1" applyAlignment="1">
      <alignment horizontal="center"/>
    </xf>
    <xf numFmtId="0" fontId="2" fillId="7" borderId="10" xfId="0" applyFont="1" applyFill="1" applyBorder="1" applyAlignment="1">
      <alignment horizontal="center"/>
    </xf>
    <xf numFmtId="0" fontId="2" fillId="7" borderId="17" xfId="0" applyFont="1" applyFill="1" applyBorder="1" applyAlignment="1">
      <alignment horizontal="center"/>
    </xf>
    <xf numFmtId="0" fontId="2" fillId="0" borderId="5" xfId="0" applyFont="1" applyBorder="1" applyAlignment="1">
      <alignment horizontal="center" vertical="center" textRotation="90"/>
    </xf>
    <xf numFmtId="0" fontId="2" fillId="0" borderId="7" xfId="0" applyFont="1" applyBorder="1" applyAlignment="1">
      <alignment horizontal="center" vertical="center" textRotation="90"/>
    </xf>
    <xf numFmtId="0" fontId="2" fillId="0" borderId="9" xfId="0" applyFont="1" applyBorder="1" applyAlignment="1">
      <alignment horizontal="center" vertical="center" textRotation="90"/>
    </xf>
    <xf numFmtId="0" fontId="10" fillId="0" borderId="4" xfId="2" applyFont="1" applyBorder="1" applyAlignment="1">
      <alignment horizontal="left" vertical="top" wrapText="1"/>
    </xf>
    <xf numFmtId="0" fontId="10" fillId="0" borderId="0" xfId="2" applyFont="1" applyAlignment="1">
      <alignment horizontal="left" vertical="top" wrapText="1"/>
    </xf>
    <xf numFmtId="0" fontId="44" fillId="0" borderId="0" xfId="2" applyFont="1" applyAlignment="1">
      <alignment horizontal="left" wrapText="1"/>
    </xf>
    <xf numFmtId="0" fontId="44" fillId="0" borderId="1" xfId="2" applyFont="1" applyBorder="1" applyAlignment="1">
      <alignment horizontal="left" wrapText="1"/>
    </xf>
    <xf numFmtId="0" fontId="9" fillId="0" borderId="0" xfId="2" applyAlignment="1">
      <alignment horizontal="left" vertical="top" wrapText="1"/>
    </xf>
    <xf numFmtId="0" fontId="9" fillId="0" borderId="7" xfId="2" applyBorder="1" applyAlignment="1">
      <alignment horizontal="left" vertical="top" wrapText="1"/>
    </xf>
    <xf numFmtId="0" fontId="9" fillId="0" borderId="1" xfId="2" applyBorder="1" applyAlignment="1">
      <alignment horizontal="left" vertical="top" wrapText="1"/>
    </xf>
    <xf numFmtId="0" fontId="9" fillId="0" borderId="9" xfId="2" applyBorder="1" applyAlignment="1">
      <alignment horizontal="left" vertical="top" wrapText="1"/>
    </xf>
    <xf numFmtId="169" fontId="41" fillId="13" borderId="6" xfId="1" applyNumberFormat="1" applyFont="1" applyFill="1" applyBorder="1" applyAlignment="1" applyProtection="1">
      <alignment horizontal="center" vertical="center"/>
      <protection locked="0"/>
    </xf>
    <xf numFmtId="169" fontId="41" fillId="13" borderId="8" xfId="1" applyNumberFormat="1" applyFont="1" applyFill="1" applyBorder="1" applyAlignment="1" applyProtection="1">
      <alignment horizontal="center" vertical="center"/>
      <protection locked="0"/>
    </xf>
    <xf numFmtId="0" fontId="10" fillId="0" borderId="18" xfId="2" applyFont="1" applyBorder="1" applyAlignment="1">
      <alignment horizontal="left" vertical="top" wrapText="1"/>
    </xf>
    <xf numFmtId="0" fontId="10" fillId="0" borderId="19" xfId="2" applyFont="1" applyBorder="1" applyAlignment="1">
      <alignment horizontal="left" vertical="top" wrapText="1"/>
    </xf>
    <xf numFmtId="0" fontId="44" fillId="0" borderId="0" xfId="2" applyFont="1" applyAlignment="1">
      <alignment horizontal="right" wrapText="1"/>
    </xf>
    <xf numFmtId="0" fontId="44" fillId="0" borderId="1" xfId="2" applyFont="1" applyBorder="1" applyAlignment="1">
      <alignment horizontal="right" wrapText="1"/>
    </xf>
    <xf numFmtId="0" fontId="12" fillId="0" borderId="16" xfId="2" applyFont="1" applyBorder="1" applyAlignment="1">
      <alignment horizontal="center" wrapText="1"/>
    </xf>
    <xf numFmtId="0" fontId="12" fillId="0" borderId="10" xfId="2" applyFont="1" applyBorder="1" applyAlignment="1">
      <alignment horizontal="center" wrapText="1"/>
    </xf>
    <xf numFmtId="0" fontId="12" fillId="0" borderId="17" xfId="2" applyFont="1" applyBorder="1" applyAlignment="1">
      <alignment horizontal="center" wrapText="1"/>
    </xf>
    <xf numFmtId="0" fontId="45" fillId="0" borderId="0" xfId="2" applyFont="1" applyAlignment="1">
      <alignment horizontal="left" wrapText="1"/>
    </xf>
    <xf numFmtId="0" fontId="45" fillId="0" borderId="1" xfId="2" applyFont="1" applyBorder="1" applyAlignment="1">
      <alignment horizontal="left" wrapText="1"/>
    </xf>
    <xf numFmtId="0" fontId="45" fillId="0" borderId="0" xfId="2" applyFont="1" applyAlignment="1">
      <alignment horizontal="right" wrapText="1"/>
    </xf>
    <xf numFmtId="0" fontId="45" fillId="0" borderId="1" xfId="2" applyFont="1" applyBorder="1" applyAlignment="1">
      <alignment horizontal="right" wrapText="1"/>
    </xf>
  </cellXfs>
  <cellStyles count="7">
    <cellStyle name="Comma" xfId="6" builtinId="3"/>
    <cellStyle name="Currency" xfId="5" builtinId="4"/>
    <cellStyle name="Normal" xfId="0" builtinId="0"/>
    <cellStyle name="Normal 2" xfId="2" xr:uid="{374EFD1B-F9D8-4695-B8EA-9F844EB51033}"/>
    <cellStyle name="Normal 2 2" xfId="4" xr:uid="{696D034F-A662-4930-9D60-B82828302A36}"/>
    <cellStyle name="Percent" xfId="1" builtinId="5"/>
    <cellStyle name="Percent 2" xfId="3" xr:uid="{D6D62CFF-C040-456D-AB98-346E15A6F30E}"/>
  </cellStyles>
  <dxfs count="68">
    <dxf>
      <font>
        <color theme="0" tint="-0.24994659260841701"/>
      </font>
      <fill>
        <patternFill patternType="solid">
          <bgColor theme="0" tint="-4.9989318521683403E-2"/>
        </patternFill>
      </fill>
    </dxf>
    <dxf>
      <font>
        <color theme="0" tint="-0.24994659260841701"/>
      </font>
      <fill>
        <patternFill>
          <bgColor rgb="FFFFFFE6"/>
        </patternFill>
      </fill>
      <border>
        <left style="thin">
          <color theme="0" tint="-0.14996795556505021"/>
        </left>
        <right style="thin">
          <color theme="0" tint="-0.14996795556505021"/>
        </right>
        <top style="thin">
          <color theme="0" tint="-0.14993743705557422"/>
        </top>
        <bottom style="thin">
          <color theme="0" tint="-0.14993743705557422"/>
        </bottom>
      </border>
    </dxf>
    <dxf>
      <font>
        <color theme="0" tint="-0.24994659260841701"/>
      </font>
      <fill>
        <patternFill patternType="solid">
          <bgColor theme="0" tint="-4.9989318521683403E-2"/>
        </patternFill>
      </fill>
    </dxf>
    <dxf>
      <font>
        <color theme="0"/>
      </font>
      <fill>
        <patternFill patternType="none">
          <bgColor auto="1"/>
        </patternFill>
      </fill>
      <border>
        <left/>
        <right/>
        <top/>
        <bottom/>
        <vertical/>
        <horizontal/>
      </border>
    </dxf>
    <dxf>
      <font>
        <b val="0"/>
        <i/>
        <strike val="0"/>
        <color rgb="FFC00000"/>
      </font>
      <fill>
        <patternFill>
          <bgColor rgb="FFFFCCFF"/>
        </patternFill>
      </fill>
    </dxf>
    <dxf>
      <font>
        <b val="0"/>
        <i/>
        <color auto="1"/>
      </font>
    </dxf>
    <dxf>
      <font>
        <b val="0"/>
        <i/>
        <color auto="1"/>
      </font>
    </dxf>
    <dxf>
      <font>
        <b val="0"/>
        <i/>
        <color auto="1"/>
      </font>
    </dxf>
    <dxf>
      <font>
        <b val="0"/>
        <i/>
      </font>
    </dxf>
    <dxf>
      <font>
        <b val="0"/>
        <i/>
      </font>
    </dxf>
    <dxf>
      <font>
        <b val="0"/>
        <i/>
        <color auto="1"/>
      </font>
    </dxf>
    <dxf>
      <font>
        <b val="0"/>
        <i/>
        <color auto="1"/>
      </font>
    </dxf>
    <dxf>
      <fill>
        <patternFill patternType="lightUp">
          <fgColor theme="1"/>
          <bgColor auto="1"/>
        </patternFill>
      </fill>
      <border>
        <left/>
        <right/>
        <top/>
        <bottom/>
      </border>
    </dxf>
    <dxf>
      <fill>
        <patternFill patternType="lightUp">
          <fgColor theme="1"/>
          <bgColor auto="1"/>
        </patternFill>
      </fill>
      <border>
        <left/>
        <right/>
        <top/>
        <bottom/>
      </border>
    </dxf>
    <dxf>
      <fill>
        <patternFill patternType="lightUp">
          <fgColor theme="1"/>
          <bgColor auto="1"/>
        </patternFill>
      </fill>
      <border>
        <left/>
        <right/>
        <top/>
        <bottom/>
      </border>
    </dxf>
    <dxf>
      <fill>
        <patternFill patternType="lightUp">
          <fgColor theme="1"/>
        </patternFill>
      </fill>
      <border>
        <left/>
        <right/>
        <top/>
        <bottom/>
      </border>
    </dxf>
    <dxf>
      <fill>
        <patternFill>
          <bgColor theme="0" tint="-4.9989318521683403E-2"/>
        </patternFill>
      </fill>
      <border>
        <left/>
        <right/>
        <top/>
        <bottom/>
        <vertical/>
        <horizontal/>
      </border>
    </dxf>
    <dxf>
      <font>
        <color theme="0" tint="-0.24994659260841701"/>
      </font>
      <fill>
        <patternFill patternType="solid">
          <bgColor theme="0" tint="-4.9989318521683403E-2"/>
        </patternFill>
      </fill>
    </dxf>
    <dxf>
      <font>
        <color theme="0" tint="-0.24994659260841701"/>
      </font>
      <fill>
        <patternFill>
          <bgColor rgb="FFFFFFE6"/>
        </patternFill>
      </fill>
      <border>
        <left style="thin">
          <color theme="0" tint="-0.14996795556505021"/>
        </left>
        <right style="thin">
          <color theme="0" tint="-0.14996795556505021"/>
        </right>
        <top style="thin">
          <color theme="0" tint="-0.14993743705557422"/>
        </top>
        <bottom style="thin">
          <color theme="0" tint="-0.14993743705557422"/>
        </bottom>
      </border>
    </dxf>
    <dxf>
      <font>
        <color theme="0"/>
      </font>
      <fill>
        <patternFill patternType="none">
          <bgColor auto="1"/>
        </patternFill>
      </fill>
      <border>
        <left/>
        <right/>
        <top/>
        <bottom/>
        <vertical/>
        <horizontal/>
      </border>
    </dxf>
    <dxf>
      <font>
        <color rgb="FFC00000"/>
      </font>
      <fill>
        <patternFill>
          <bgColor rgb="FFFFEBFF"/>
        </patternFill>
      </fill>
    </dxf>
    <dxf>
      <font>
        <color rgb="FFC00000"/>
      </font>
      <fill>
        <patternFill>
          <bgColor rgb="FFFFEBFF"/>
        </patternFill>
      </fill>
    </dxf>
    <dxf>
      <font>
        <b/>
        <i val="0"/>
        <color rgb="FFC00000"/>
      </font>
      <fill>
        <patternFill>
          <bgColor rgb="FFFFCCFF"/>
        </patternFill>
      </fill>
    </dxf>
    <dxf>
      <font>
        <color rgb="FFC00000"/>
      </font>
    </dxf>
    <dxf>
      <font>
        <b val="0"/>
        <i/>
        <strike val="0"/>
        <color rgb="FFC00000"/>
      </font>
      <fill>
        <patternFill>
          <bgColor rgb="FFFFCCFF"/>
        </patternFill>
      </fill>
    </dxf>
    <dxf>
      <font>
        <b val="0"/>
        <i/>
      </font>
    </dxf>
    <dxf>
      <font>
        <b val="0"/>
        <i/>
      </font>
    </dxf>
    <dxf>
      <fill>
        <patternFill patternType="lightUp">
          <fgColor theme="1"/>
          <bgColor auto="1"/>
        </patternFill>
      </fill>
      <border>
        <left/>
        <right/>
        <top/>
        <bottom/>
      </border>
    </dxf>
    <dxf>
      <font>
        <color rgb="FFC00000"/>
      </font>
      <fill>
        <patternFill>
          <bgColor rgb="FFFFF0FF"/>
        </patternFill>
      </fill>
    </dxf>
    <dxf>
      <fill>
        <patternFill patternType="lightUp">
          <fgColor theme="1"/>
          <bgColor auto="1"/>
        </patternFill>
      </fill>
      <border>
        <left/>
        <right/>
        <top/>
        <bottom/>
      </border>
    </dxf>
    <dxf>
      <fill>
        <patternFill>
          <bgColor theme="0" tint="-4.9989318521683403E-2"/>
        </patternFill>
      </fill>
      <border>
        <left/>
        <right/>
        <top/>
        <bottom/>
        <vertical/>
        <horizontal/>
      </border>
    </dxf>
    <dxf>
      <fill>
        <patternFill patternType="lightUp">
          <fgColor theme="1"/>
        </patternFill>
      </fill>
      <border>
        <left/>
        <right/>
        <top/>
        <bottom/>
      </border>
    </dxf>
    <dxf>
      <fill>
        <patternFill>
          <bgColor theme="0" tint="-4.9989318521683403E-2"/>
        </patternFill>
      </fill>
    </dxf>
    <dxf>
      <font>
        <b/>
        <i val="0"/>
      </font>
      <fill>
        <patternFill>
          <bgColor rgb="FFCCFFCC"/>
        </patternFill>
      </fill>
    </dxf>
    <dxf>
      <font>
        <color rgb="FFE6E6E6"/>
      </font>
      <fill>
        <patternFill patternType="lightUp">
          <fgColor theme="0" tint="-0.499984740745262"/>
        </patternFill>
      </fill>
    </dxf>
    <dxf>
      <font>
        <b/>
        <i val="0"/>
        <color rgb="FFC00000"/>
      </font>
      <fill>
        <patternFill>
          <bgColor rgb="FF99FF99"/>
        </patternFill>
      </fill>
    </dxf>
    <dxf>
      <font>
        <b/>
        <i val="0"/>
        <color rgb="FF7030A0"/>
      </font>
      <fill>
        <patternFill>
          <bgColor rgb="FF99FF99"/>
        </patternFill>
      </fill>
    </dxf>
    <dxf>
      <font>
        <color theme="0"/>
      </font>
      <border>
        <left/>
        <right/>
        <top/>
        <bottom/>
        <vertical/>
        <horizontal/>
      </border>
    </dxf>
    <dxf>
      <font>
        <b/>
        <i val="0"/>
        <color rgb="FF7030A0"/>
      </font>
      <fill>
        <patternFill>
          <bgColor rgb="FF99FF99"/>
        </patternFill>
      </fill>
    </dxf>
    <dxf>
      <fill>
        <patternFill patternType="lightUp">
          <fgColor theme="0" tint="-0.499984740745262"/>
        </patternFill>
      </fill>
    </dxf>
    <dxf>
      <font>
        <color theme="0"/>
      </font>
      <border>
        <left/>
        <right/>
        <top/>
        <bottom/>
        <vertical/>
        <horizontal/>
      </border>
    </dxf>
    <dxf>
      <font>
        <b/>
        <i val="0"/>
        <color rgb="FF7030A0"/>
      </font>
      <fill>
        <patternFill>
          <bgColor rgb="FF99FF99"/>
        </patternFill>
      </fill>
    </dxf>
    <dxf>
      <font>
        <color theme="0"/>
      </font>
    </dxf>
    <dxf>
      <font>
        <color rgb="FFE6E6E6"/>
      </font>
      <fill>
        <patternFill patternType="lightUp">
          <fgColor theme="0" tint="-0.499984740745262"/>
        </patternFill>
      </fill>
    </dxf>
    <dxf>
      <font>
        <b/>
        <i/>
        <color theme="0" tint="-0.499984740745262"/>
      </font>
      <fill>
        <patternFill patternType="none">
          <bgColor auto="1"/>
        </patternFill>
      </fill>
    </dxf>
    <dxf>
      <font>
        <b/>
        <i val="0"/>
        <color rgb="FFC00000"/>
      </font>
      <fill>
        <patternFill>
          <bgColor rgb="FFFFCCFF"/>
        </patternFill>
      </fill>
    </dxf>
    <dxf>
      <font>
        <color rgb="FFE6E6E6"/>
      </font>
      <fill>
        <patternFill patternType="lightUp">
          <fgColor theme="0" tint="-0.499984740745262"/>
        </patternFill>
      </fill>
    </dxf>
    <dxf>
      <font>
        <b val="0"/>
        <i val="0"/>
        <color theme="0"/>
      </font>
      <fill>
        <patternFill patternType="lightUp">
          <fgColor theme="0" tint="-0.499984740745262"/>
          <bgColor auto="1"/>
        </patternFill>
      </fill>
    </dxf>
    <dxf>
      <font>
        <b/>
        <i val="0"/>
        <color rgb="FFC00000"/>
      </font>
      <fill>
        <patternFill>
          <bgColor rgb="FF99FF99"/>
        </patternFill>
      </fill>
    </dxf>
    <dxf>
      <font>
        <b/>
        <i val="0"/>
        <color rgb="FFC00000"/>
      </font>
      <fill>
        <patternFill patternType="solid">
          <fgColor theme="0"/>
          <bgColor rgb="FFFFCCFF"/>
        </patternFill>
      </fill>
    </dxf>
    <dxf>
      <font>
        <b/>
        <i val="0"/>
        <color rgb="FF7030A0"/>
      </font>
      <fill>
        <patternFill>
          <bgColor rgb="FF99FF99"/>
        </patternFill>
      </fill>
    </dxf>
    <dxf>
      <font>
        <b/>
        <i val="0"/>
        <color rgb="FFC00000"/>
      </font>
      <fill>
        <patternFill>
          <bgColor rgb="FFFFCCFF"/>
        </patternFill>
      </fill>
    </dxf>
    <dxf>
      <font>
        <color rgb="FFE6E6E6"/>
      </font>
      <fill>
        <patternFill patternType="lightUp">
          <fgColor theme="0" tint="-0.499984740745262"/>
        </patternFill>
      </fill>
    </dxf>
    <dxf>
      <font>
        <b/>
        <i val="0"/>
        <color rgb="FF7030A0"/>
      </font>
      <fill>
        <patternFill>
          <bgColor rgb="FF99FF99"/>
        </patternFill>
      </fill>
    </dxf>
    <dxf>
      <fill>
        <patternFill patternType="lightUp">
          <fgColor theme="0" tint="-0.499984740745262"/>
        </patternFill>
      </fill>
    </dxf>
    <dxf>
      <font>
        <b/>
        <i val="0"/>
        <color rgb="FFC00000"/>
      </font>
      <fill>
        <patternFill>
          <bgColor rgb="FFFFCCFF"/>
        </patternFill>
      </fill>
    </dxf>
    <dxf>
      <font>
        <b/>
        <i val="0"/>
        <color rgb="FFC00000"/>
      </font>
      <fill>
        <patternFill>
          <bgColor rgb="FFFFCCFF"/>
        </patternFill>
      </fill>
    </dxf>
    <dxf>
      <fill>
        <patternFill patternType="lightUp">
          <fgColor rgb="FFC00000"/>
        </patternFill>
      </fill>
    </dxf>
    <dxf>
      <font>
        <b/>
        <i val="0"/>
        <color rgb="FFC00000"/>
      </font>
      <fill>
        <patternFill>
          <bgColor rgb="FFFFCCFF"/>
        </patternFill>
      </fill>
    </dxf>
    <dxf>
      <font>
        <b/>
        <i val="0"/>
        <color rgb="FFC00000"/>
      </font>
      <fill>
        <patternFill>
          <bgColor rgb="FFFFCCFF"/>
        </patternFill>
      </fill>
    </dxf>
    <dxf>
      <font>
        <b/>
        <i val="0"/>
        <color rgb="FFC00000"/>
      </font>
      <fill>
        <patternFill>
          <bgColor rgb="FFFFCCFF"/>
        </patternFill>
      </fill>
    </dxf>
    <dxf>
      <font>
        <b/>
        <i val="0"/>
        <color rgb="FFC00000"/>
      </font>
      <fill>
        <patternFill>
          <bgColor rgb="FFFFCCFF"/>
        </patternFill>
      </fill>
    </dxf>
    <dxf>
      <font>
        <b/>
        <i val="0"/>
        <color rgb="FFC00000"/>
      </font>
      <fill>
        <patternFill>
          <bgColor rgb="FFFFCCFF"/>
        </patternFill>
      </fill>
    </dxf>
    <dxf>
      <font>
        <b/>
        <i val="0"/>
        <color rgb="FF7030A0"/>
      </font>
      <fill>
        <patternFill>
          <bgColor rgb="FF99FF99"/>
        </patternFill>
      </fill>
    </dxf>
    <dxf>
      <font>
        <b/>
        <i val="0"/>
        <color rgb="FFC00000"/>
      </font>
      <fill>
        <patternFill>
          <bgColor rgb="FFFFCCFF"/>
        </patternFill>
      </fill>
    </dxf>
    <dxf>
      <font>
        <b/>
        <i val="0"/>
        <color rgb="FFC00000"/>
      </font>
      <fill>
        <patternFill>
          <bgColor rgb="FFFFCCFF"/>
        </patternFill>
      </fill>
    </dxf>
    <dxf>
      <font>
        <b/>
        <i val="0"/>
        <color rgb="FF7030A0"/>
      </font>
      <fill>
        <patternFill>
          <fgColor auto="1"/>
          <bgColor rgb="FF99FF99"/>
        </patternFill>
      </fill>
    </dxf>
    <dxf>
      <font>
        <b/>
        <i val="0"/>
        <color rgb="FFC00000"/>
      </font>
      <fill>
        <patternFill>
          <bgColor rgb="FFFFCCFF"/>
        </patternFill>
      </fill>
    </dxf>
  </dxfs>
  <tableStyles count="1" defaultTableStyle="TableStyleMedium2" defaultPivotStyle="PivotStyleLight16">
    <tableStyle name="Invisible" pivot="0" table="0" count="0" xr9:uid="{3D291F3A-57CA-44DA-86B7-EFB8F9A11728}"/>
  </tableStyles>
  <colors>
    <mruColors>
      <color rgb="FFFFFFE1"/>
      <color rgb="FFFFF0FF"/>
      <color rgb="FF006600"/>
      <color rgb="FF0000FF"/>
      <color rgb="FFABFFFF"/>
      <color rgb="FFFFEBFF"/>
      <color rgb="FFFF99FF"/>
      <color rgb="FF99FF99"/>
      <color rgb="FFFFFFEB"/>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tmp"/><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136</xdr:col>
      <xdr:colOff>40822</xdr:colOff>
      <xdr:row>38</xdr:row>
      <xdr:rowOff>43170</xdr:rowOff>
    </xdr:from>
    <xdr:to>
      <xdr:col>139</xdr:col>
      <xdr:colOff>585106</xdr:colOff>
      <xdr:row>80</xdr:row>
      <xdr:rowOff>150822</xdr:rowOff>
    </xdr:to>
    <xdr:pic>
      <xdr:nvPicPr>
        <xdr:cNvPr id="3" name="Picture 2">
          <a:extLst>
            <a:ext uri="{FF2B5EF4-FFF2-40B4-BE49-F238E27FC236}">
              <a16:creationId xmlns:a16="http://schemas.microsoft.com/office/drawing/2014/main" id="{B4ED00DB-DA78-BA77-DB81-DA6097FE7D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602108" y="8860599"/>
          <a:ext cx="10654392" cy="8108652"/>
        </a:xfrm>
        <a:prstGeom prst="rect">
          <a:avLst/>
        </a:prstGeom>
      </xdr:spPr>
    </xdr:pic>
    <xdr:clientData/>
  </xdr:twoCellAnchor>
  <xdr:twoCellAnchor editAs="oneCell">
    <xdr:from>
      <xdr:col>136</xdr:col>
      <xdr:colOff>0</xdr:colOff>
      <xdr:row>84</xdr:row>
      <xdr:rowOff>95250</xdr:rowOff>
    </xdr:from>
    <xdr:to>
      <xdr:col>148</xdr:col>
      <xdr:colOff>1134</xdr:colOff>
      <xdr:row>100</xdr:row>
      <xdr:rowOff>124254</xdr:rowOff>
    </xdr:to>
    <xdr:pic>
      <xdr:nvPicPr>
        <xdr:cNvPr id="4" name="Picture 3">
          <a:extLst>
            <a:ext uri="{FF2B5EF4-FFF2-40B4-BE49-F238E27FC236}">
              <a16:creationId xmlns:a16="http://schemas.microsoft.com/office/drawing/2014/main" id="{A4D300A8-982A-4590-87C7-24BE1341302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6561286" y="17389929"/>
          <a:ext cx="17880920" cy="307700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E811B-9A00-47A7-9931-ED91F2FA1118}">
  <sheetPr codeName="Sheet1"/>
  <dimension ref="A1:AI61"/>
  <sheetViews>
    <sheetView tabSelected="1" zoomScale="90" zoomScaleNormal="90" workbookViewId="0">
      <selection activeCell="D9" sqref="D9:E9"/>
    </sheetView>
  </sheetViews>
  <sheetFormatPr defaultRowHeight="15" outlineLevelCol="1" x14ac:dyDescent="0.25"/>
  <cols>
    <col min="1" max="1" width="3.7109375" customWidth="1"/>
    <col min="2" max="3" width="13.7109375" customWidth="1"/>
    <col min="4" max="4" width="63.7109375" customWidth="1"/>
    <col min="5" max="6" width="19.7109375" customWidth="1"/>
    <col min="7" max="7" width="19.85546875" customWidth="1"/>
    <col min="8" max="9" width="13.7109375" customWidth="1"/>
    <col min="10" max="16" width="19.7109375" customWidth="1"/>
    <col min="17" max="17" width="13.140625" customWidth="1"/>
    <col min="18" max="18" width="9.7109375" customWidth="1"/>
    <col min="19" max="19" width="18" customWidth="1"/>
    <col min="20" max="20" width="20.7109375" customWidth="1"/>
    <col min="22" max="22" width="12.7109375" bestFit="1" customWidth="1"/>
    <col min="23" max="23" width="24.5703125" hidden="1" customWidth="1" outlineLevel="1"/>
    <col min="24" max="34" width="9.140625" hidden="1" customWidth="1" outlineLevel="1"/>
    <col min="35" max="35" width="9.140625" collapsed="1"/>
  </cols>
  <sheetData>
    <row r="1" spans="1:21" ht="15.75" x14ac:dyDescent="0.25">
      <c r="A1" s="248" t="s">
        <v>466</v>
      </c>
    </row>
    <row r="2" spans="1:21" x14ac:dyDescent="0.25">
      <c r="A2" s="60" t="s">
        <v>199</v>
      </c>
    </row>
    <row r="3" spans="1:21" x14ac:dyDescent="0.25">
      <c r="E3" s="25"/>
    </row>
    <row r="4" spans="1:21" x14ac:dyDescent="0.25">
      <c r="B4" s="2" t="s">
        <v>11</v>
      </c>
    </row>
    <row r="5" spans="1:21" x14ac:dyDescent="0.25">
      <c r="C5" t="s">
        <v>12</v>
      </c>
      <c r="D5" s="323"/>
      <c r="E5" s="323"/>
      <c r="I5" s="29"/>
    </row>
    <row r="6" spans="1:21" x14ac:dyDescent="0.25">
      <c r="C6" t="s">
        <v>13</v>
      </c>
      <c r="D6" s="323"/>
      <c r="E6" s="323"/>
    </row>
    <row r="7" spans="1:21" x14ac:dyDescent="0.25">
      <c r="C7" t="s">
        <v>14</v>
      </c>
      <c r="D7" s="323" t="s">
        <v>1</v>
      </c>
      <c r="E7" s="323"/>
      <c r="F7" t="str">
        <f>IF(D7="","STOP: Please select a County","")</f>
        <v/>
      </c>
    </row>
    <row r="9" spans="1:21" x14ac:dyDescent="0.25">
      <c r="B9" s="2" t="s">
        <v>0</v>
      </c>
      <c r="D9" s="325" t="s">
        <v>1</v>
      </c>
      <c r="E9" s="325"/>
    </row>
    <row r="11" spans="1:21" x14ac:dyDescent="0.25">
      <c r="B11" s="2" t="s">
        <v>4</v>
      </c>
    </row>
    <row r="13" spans="1:21" x14ac:dyDescent="0.25">
      <c r="B13" s="2" t="str">
        <f>"Identify which"&amp;IF(N(D9)&gt;2012," "&amp;D9,"")&amp;" RFA under which the Development was funded."</f>
        <v>Identify which RFA under which the Development was funded.</v>
      </c>
      <c r="I13" s="25"/>
    </row>
    <row r="14" spans="1:21" x14ac:dyDescent="0.25">
      <c r="B14" s="2"/>
      <c r="D14" s="27" t="s">
        <v>97</v>
      </c>
      <c r="E14" s="27" t="s">
        <v>202</v>
      </c>
      <c r="F14" s="324" t="s">
        <v>98</v>
      </c>
      <c r="G14" s="324"/>
      <c r="H14" s="324" t="s">
        <v>100</v>
      </c>
      <c r="I14" s="324"/>
      <c r="J14" s="324"/>
      <c r="K14" s="324"/>
      <c r="L14" s="324"/>
      <c r="M14" s="324"/>
      <c r="N14" s="324"/>
      <c r="O14" s="324"/>
      <c r="P14" s="324"/>
      <c r="Q14" s="324"/>
      <c r="R14" s="324"/>
      <c r="S14" s="324"/>
      <c r="T14" s="324"/>
    </row>
    <row r="15" spans="1:21" x14ac:dyDescent="0.25">
      <c r="C15" s="32"/>
      <c r="D15" s="46" t="str">
        <f>IFERROR(IF(Year=Data!A$3," ",CHOOSE(Year-2022,Data!M3,Data!L3,Data!K3,Data!J3,Data!I3,Data!H3,Data!G3,Data!F3,Data!E3,Data!D3,Data!C3)),"")</f>
        <v xml:space="preserve"> </v>
      </c>
      <c r="E15" s="166" t="str">
        <f>IFERROR(IF(Year=Data!A$3," ",CHOOSE(Year-2022,Data!M24,Data!L24,Data!K24,Data!J24,Data!I24,Data!H24,Data!G24,Data!F24,Data!E24,Data!D24,Data!C24)),"")</f>
        <v xml:space="preserve"> </v>
      </c>
      <c r="F15" s="321" t="str">
        <f>IFERROR(IF(Year=Data!A$3," ",CHOOSE(Year-2022,Data!M44,Data!L44,Data!K44,Data!J44,Data!I44,Data!H44,Data!G44,Data!F44,Data!E44,Data!D44,Data!C44)),"")</f>
        <v xml:space="preserve"> </v>
      </c>
      <c r="G15" s="321"/>
      <c r="H15" s="322" t="str">
        <f>IFERROR(IF(Year=Data!A$3," ",CHOOSE(Year-2022,Data!M64,Data!L64,Data!K64,Data!J64,Data!I64,Data!H64,Data!G64,Data!F64,Data!E64,Data!D64,Data!C64)),"")</f>
        <v xml:space="preserve"> </v>
      </c>
      <c r="I15" s="322"/>
      <c r="J15" s="322"/>
      <c r="K15" s="322"/>
      <c r="L15" s="322"/>
      <c r="M15" s="322"/>
      <c r="N15" s="322"/>
      <c r="O15" s="322"/>
      <c r="P15" s="322"/>
      <c r="Q15" s="322"/>
      <c r="R15" s="322"/>
      <c r="S15" s="322"/>
      <c r="T15" s="322"/>
      <c r="U15" s="37" t="str">
        <f>IF(COUNTIF(D15,"*TDC*"),"Yes","No")</f>
        <v>No</v>
      </c>
    </row>
    <row r="16" spans="1:21" x14ac:dyDescent="0.25">
      <c r="C16" s="32"/>
      <c r="D16" s="46" t="str">
        <f>IFERROR(IF(Year=Data!A$3," ",CHOOSE(Year-2022,Data!M4,Data!L4,Data!K4,Data!J4,Data!I4,Data!H4,Data!G4,Data!F4,Data!E4,Data!D4,Data!C4)),"")</f>
        <v xml:space="preserve"> </v>
      </c>
      <c r="E16" s="166" t="str">
        <f>IFERROR(IF(Year=Data!A$3," ",CHOOSE(Year-2022,Data!M25,Data!L25,Data!K25,Data!J25,Data!I25,Data!H25,Data!G25,Data!F25,Data!E25,Data!D25,Data!C25)),"")</f>
        <v xml:space="preserve"> </v>
      </c>
      <c r="F16" s="321" t="str">
        <f>IFERROR(IF(Year=Data!A$3," ",CHOOSE(Year-2022,Data!M45,Data!L45,Data!K45,Data!J45,Data!I45,Data!H45,Data!G45,Data!F45,Data!E45,Data!D45,Data!C45)),"")</f>
        <v xml:space="preserve"> </v>
      </c>
      <c r="G16" s="321"/>
      <c r="H16" s="322" t="str">
        <f>IFERROR(IF(Year=Data!A$3," ",CHOOSE(Year-2022,Data!M65,Data!L65,Data!K65,Data!J65,Data!I65,Data!H65,Data!G65,Data!F65,Data!E65,Data!D65,Data!C65)),"")</f>
        <v xml:space="preserve"> </v>
      </c>
      <c r="I16" s="322"/>
      <c r="J16" s="322"/>
      <c r="K16" s="322"/>
      <c r="L16" s="322"/>
      <c r="M16" s="322"/>
      <c r="N16" s="322"/>
      <c r="O16" s="322"/>
      <c r="P16" s="322"/>
      <c r="Q16" s="322"/>
      <c r="R16" s="322"/>
      <c r="S16" s="322"/>
      <c r="T16" s="322"/>
      <c r="U16" s="37" t="str">
        <f t="shared" ref="U16:U32" si="0">IF(COUNTIF(D16,"*TDC*"),"Yes","No")</f>
        <v>No</v>
      </c>
    </row>
    <row r="17" spans="3:21" x14ac:dyDescent="0.25">
      <c r="C17" s="32"/>
      <c r="D17" s="46" t="str">
        <f>IFERROR(IF(Year=Data!A$3," ",CHOOSE(Year-2022,Data!M5,Data!L5,Data!K5,Data!J5,Data!I5,Data!H5,Data!G5,Data!F5,Data!E5,Data!D5,Data!C5)),"")</f>
        <v xml:space="preserve"> </v>
      </c>
      <c r="E17" s="166" t="str">
        <f>IFERROR(IF(Year=Data!A$3," ",CHOOSE(Year-2022,Data!M26,Data!L26,Data!K26,Data!J26,Data!I26,Data!H26,Data!G26,Data!F26,Data!E26,Data!D26,Data!C26)),"")</f>
        <v xml:space="preserve"> </v>
      </c>
      <c r="F17" s="321" t="str">
        <f>IFERROR(IF(Year=Data!A$3," ",CHOOSE(Year-2022,Data!M46,Data!L46,Data!K46,Data!J46,Data!I46,Data!H46,Data!G46,Data!F46,Data!E46,Data!D46,Data!C46)),"")</f>
        <v xml:space="preserve"> </v>
      </c>
      <c r="G17" s="321"/>
      <c r="H17" s="322" t="str">
        <f>IFERROR(IF(Year=Data!A$3," ",CHOOSE(Year-2022,Data!M66,Data!L66,Data!K66,Data!J66,Data!I66,Data!H66,Data!G66,Data!F66,Data!E66,Data!D66,Data!C66)),"")</f>
        <v xml:space="preserve"> </v>
      </c>
      <c r="I17" s="322"/>
      <c r="J17" s="322"/>
      <c r="K17" s="322"/>
      <c r="L17" s="322"/>
      <c r="M17" s="322"/>
      <c r="N17" s="322"/>
      <c r="O17" s="322"/>
      <c r="P17" s="322"/>
      <c r="Q17" s="322"/>
      <c r="R17" s="322"/>
      <c r="S17" s="322"/>
      <c r="T17" s="322"/>
      <c r="U17" s="37" t="str">
        <f t="shared" si="0"/>
        <v>No</v>
      </c>
    </row>
    <row r="18" spans="3:21" x14ac:dyDescent="0.25">
      <c r="C18" s="32"/>
      <c r="D18" s="46" t="str">
        <f>IFERROR(IF(Year=Data!A$3," ",CHOOSE(Year-2022,Data!M6,Data!L6,Data!K6,Data!J6,Data!I6,Data!H6,Data!G6,Data!F6,Data!E6,Data!D6,Data!C6)),"")</f>
        <v xml:space="preserve"> </v>
      </c>
      <c r="E18" s="166" t="str">
        <f>IFERROR(IF(Year=Data!A$3," ",CHOOSE(Year-2022,Data!M27,Data!L27,Data!K27,Data!J27,Data!I27,Data!H27,Data!G27,Data!F27,Data!E27,Data!D27,Data!C27)),"")</f>
        <v xml:space="preserve"> </v>
      </c>
      <c r="F18" s="321" t="str">
        <f>IFERROR(IF(Year=Data!A$3," ",CHOOSE(Year-2022,Data!M47,Data!L47,Data!K47,Data!J47,Data!I47,Data!H47,Data!G47,Data!F47,Data!E47,Data!D47,Data!C47)),"")</f>
        <v xml:space="preserve"> </v>
      </c>
      <c r="G18" s="321"/>
      <c r="H18" s="322" t="str">
        <f>IFERROR(IF(Year=Data!A$3," ",CHOOSE(Year-2022,Data!M67,Data!L67,Data!K67,Data!J67,Data!I67,Data!H67,Data!G67,Data!F67,Data!E67,Data!D67,Data!C67)),"")</f>
        <v xml:space="preserve"> </v>
      </c>
      <c r="I18" s="322"/>
      <c r="J18" s="322"/>
      <c r="K18" s="322"/>
      <c r="L18" s="322"/>
      <c r="M18" s="322"/>
      <c r="N18" s="322"/>
      <c r="O18" s="322"/>
      <c r="P18" s="322"/>
      <c r="Q18" s="322"/>
      <c r="R18" s="322"/>
      <c r="S18" s="322"/>
      <c r="T18" s="322"/>
      <c r="U18" s="37" t="str">
        <f t="shared" si="0"/>
        <v>No</v>
      </c>
    </row>
    <row r="19" spans="3:21" x14ac:dyDescent="0.25">
      <c r="C19" s="32"/>
      <c r="D19" s="46" t="str">
        <f>IFERROR(IF(Year=Data!A$3," ",CHOOSE(Year-2022,Data!M7,Data!L7,Data!K7,Data!J7,Data!I7,Data!H7,Data!G7,Data!F7,Data!E7,Data!D7,Data!C7)),"")</f>
        <v xml:space="preserve"> </v>
      </c>
      <c r="E19" s="166" t="str">
        <f>IFERROR(IF(Year=Data!A$3," ",CHOOSE(Year-2022,Data!M28,Data!L28,Data!K28,Data!J28,Data!I28,Data!H28,Data!G28,Data!F28,Data!E28,Data!D28,Data!C28)),"")</f>
        <v xml:space="preserve"> </v>
      </c>
      <c r="F19" s="321" t="str">
        <f>IFERROR(IF(Year=Data!A$3," ",CHOOSE(Year-2022,Data!M48,Data!L48,Data!K48,Data!J48,Data!I48,Data!H48,Data!G48,Data!F48,Data!E48,Data!D48,Data!C48)),"")</f>
        <v xml:space="preserve"> </v>
      </c>
      <c r="G19" s="321"/>
      <c r="H19" s="322" t="str">
        <f>IFERROR(IF(Year=Data!A$3," ",CHOOSE(Year-2022,Data!M68,Data!L68,Data!K68,Data!J68,Data!I68,Data!H68,Data!G68,Data!F68,Data!E68,Data!D68,Data!C68)),"")</f>
        <v xml:space="preserve"> </v>
      </c>
      <c r="I19" s="322"/>
      <c r="J19" s="322"/>
      <c r="K19" s="322"/>
      <c r="L19" s="322"/>
      <c r="M19" s="322"/>
      <c r="N19" s="322"/>
      <c r="O19" s="322"/>
      <c r="P19" s="322"/>
      <c r="Q19" s="322"/>
      <c r="R19" s="322"/>
      <c r="S19" s="322"/>
      <c r="T19" s="322"/>
      <c r="U19" s="37" t="str">
        <f t="shared" si="0"/>
        <v>No</v>
      </c>
    </row>
    <row r="20" spans="3:21" x14ac:dyDescent="0.25">
      <c r="C20" s="32"/>
      <c r="D20" s="46" t="str">
        <f>IFERROR(IF(Year=Data!A$3," ",CHOOSE(Year-2022,Data!M8,Data!L8,Data!K8,Data!J8,Data!I8,Data!H8,Data!G8,Data!F8,Data!E8,Data!D8,Data!C8)),"")</f>
        <v xml:space="preserve"> </v>
      </c>
      <c r="E20" s="166" t="str">
        <f>IFERROR(IF(Year=Data!A$3," ",CHOOSE(Year-2022,Data!M29,Data!L29,Data!K29,Data!J29,Data!I29,Data!H29,Data!G29,Data!F29,Data!E29,Data!D29,Data!C29)),"")</f>
        <v xml:space="preserve"> </v>
      </c>
      <c r="F20" s="321" t="str">
        <f>IFERROR(IF(Year=Data!A$3," ",CHOOSE(Year-2022,Data!M49,Data!L49,Data!K49,Data!J49,Data!I49,Data!H49,Data!G49,Data!F49,Data!E49,Data!D49,Data!C49)),"")</f>
        <v xml:space="preserve"> </v>
      </c>
      <c r="G20" s="321"/>
      <c r="H20" s="322" t="str">
        <f>IFERROR(IF(Year=Data!A$3," ",CHOOSE(Year-2022,Data!M69,Data!L69,Data!K69,Data!J69,Data!I69,Data!H69,Data!G69,Data!F69,Data!E69,Data!D69,Data!C69)),"")</f>
        <v xml:space="preserve"> </v>
      </c>
      <c r="I20" s="322"/>
      <c r="J20" s="322"/>
      <c r="K20" s="322"/>
      <c r="L20" s="322"/>
      <c r="M20" s="322"/>
      <c r="N20" s="322"/>
      <c r="O20" s="322"/>
      <c r="P20" s="322"/>
      <c r="Q20" s="322"/>
      <c r="R20" s="322"/>
      <c r="S20" s="322"/>
      <c r="T20" s="322"/>
      <c r="U20" s="37" t="str">
        <f t="shared" si="0"/>
        <v>No</v>
      </c>
    </row>
    <row r="21" spans="3:21" x14ac:dyDescent="0.25">
      <c r="C21" s="32"/>
      <c r="D21" s="46" t="str">
        <f>IFERROR(IF(Year=Data!A$3," ",CHOOSE(Year-2022,Data!M9,Data!L9,Data!K9,Data!J9,Data!I9,Data!H9,Data!G9,Data!F9,Data!E9,Data!D9,Data!C9)),"")</f>
        <v xml:space="preserve"> </v>
      </c>
      <c r="E21" s="166" t="str">
        <f>IFERROR(IF(Year=Data!A$3," ",CHOOSE(Year-2022,Data!M30,Data!L30,Data!K30,Data!J30,Data!I30,Data!H30,Data!G30,Data!F30,Data!E30,Data!D30,Data!C30)),"")</f>
        <v xml:space="preserve"> </v>
      </c>
      <c r="F21" s="321" t="str">
        <f>IFERROR(IF(Year=Data!A$3," ",CHOOSE(Year-2022,Data!M50,Data!L50,Data!K50,Data!J50,Data!I50,Data!H50,Data!G50,Data!F50,Data!E50,Data!D50,Data!C50)),"")</f>
        <v xml:space="preserve"> </v>
      </c>
      <c r="G21" s="321"/>
      <c r="H21" s="322" t="str">
        <f>IFERROR(IF(Year=Data!A$3," ",CHOOSE(Year-2022,Data!M70,Data!L70,Data!K70,Data!J70,Data!I70,Data!H70,Data!G70,Data!F70,Data!E70,Data!D70,Data!C70)),"")</f>
        <v xml:space="preserve"> </v>
      </c>
      <c r="I21" s="322"/>
      <c r="J21" s="322"/>
      <c r="K21" s="322"/>
      <c r="L21" s="322"/>
      <c r="M21" s="322"/>
      <c r="N21" s="322"/>
      <c r="O21" s="322"/>
      <c r="P21" s="322"/>
      <c r="Q21" s="322"/>
      <c r="R21" s="322"/>
      <c r="S21" s="322"/>
      <c r="T21" s="322"/>
      <c r="U21" s="37" t="str">
        <f t="shared" si="0"/>
        <v>No</v>
      </c>
    </row>
    <row r="22" spans="3:21" x14ac:dyDescent="0.25">
      <c r="C22" s="32"/>
      <c r="D22" s="46" t="str">
        <f>IFERROR(IF(Year=Data!A$3," ",CHOOSE(Year-2022,Data!M10,Data!L10,Data!K10,Data!J10,Data!I10,Data!H10,Data!G10,Data!F10,Data!E10,Data!D10,Data!C10)),"")</f>
        <v xml:space="preserve"> </v>
      </c>
      <c r="E22" s="166" t="str">
        <f>IFERROR(IF(Year=Data!A$3," ",CHOOSE(Year-2022,Data!M31,Data!L31,Data!K31,Data!J31,Data!I31,Data!H31,Data!G31,Data!F31,Data!E31,Data!D31,Data!C31)),"")</f>
        <v xml:space="preserve"> </v>
      </c>
      <c r="F22" s="321" t="str">
        <f>IFERROR(IF(Year=Data!A$3," ",CHOOSE(Year-2022,Data!M51,Data!L51,Data!K51,Data!J51,Data!I51,Data!H51,Data!G51,Data!F51,Data!E51,Data!D51,Data!C51)),"")</f>
        <v xml:space="preserve"> </v>
      </c>
      <c r="G22" s="321"/>
      <c r="H22" s="322" t="str">
        <f>IFERROR(IF(Year=Data!A$3," ",CHOOSE(Year-2022,Data!M71,Data!L71,Data!K71,Data!J71,Data!I71,Data!H71,Data!G71,Data!F71,Data!E71,Data!D71,Data!C71)),"")</f>
        <v xml:space="preserve"> </v>
      </c>
      <c r="I22" s="322"/>
      <c r="J22" s="322"/>
      <c r="K22" s="322"/>
      <c r="L22" s="322"/>
      <c r="M22" s="322"/>
      <c r="N22" s="322"/>
      <c r="O22" s="322"/>
      <c r="P22" s="322"/>
      <c r="Q22" s="322"/>
      <c r="R22" s="322"/>
      <c r="S22" s="322"/>
      <c r="T22" s="322"/>
      <c r="U22" s="37" t="str">
        <f t="shared" si="0"/>
        <v>No</v>
      </c>
    </row>
    <row r="23" spans="3:21" x14ac:dyDescent="0.25">
      <c r="C23" s="32"/>
      <c r="D23" s="46" t="str">
        <f>IFERROR(IF(Year=Data!A$3," ",CHOOSE(Year-2022,Data!M11,Data!L11,Data!K11,Data!J11,Data!I11,Data!H11,Data!G11,Data!F11,Data!E11,Data!D11,Data!C11)),"")</f>
        <v xml:space="preserve"> </v>
      </c>
      <c r="E23" s="166" t="str">
        <f>IFERROR(IF(Year=Data!A$3," ",CHOOSE(Year-2022,Data!M32,Data!L32,Data!K32,Data!J32,Data!I32,Data!H32,Data!G32,Data!F32,Data!E32,Data!D32,Data!C32)),"")</f>
        <v xml:space="preserve"> </v>
      </c>
      <c r="F23" s="321" t="str">
        <f>IFERROR(IF(Year=Data!A$3," ",CHOOSE(Year-2022,Data!M52,Data!L52,Data!K52,Data!J52,Data!I52,Data!H52,Data!G52,Data!F52,Data!E52,Data!D52,Data!C52)),"")</f>
        <v xml:space="preserve"> </v>
      </c>
      <c r="G23" s="321"/>
      <c r="H23" s="322" t="str">
        <f>IFERROR(IF(Year=Data!A$3," ",CHOOSE(Year-2022,Data!M72,Data!L72,Data!K72,Data!J72,Data!I72,Data!H72,Data!G72,Data!F72,Data!E72,Data!D72,Data!C72)),"")</f>
        <v xml:space="preserve"> </v>
      </c>
      <c r="I23" s="322"/>
      <c r="J23" s="322"/>
      <c r="K23" s="322"/>
      <c r="L23" s="322"/>
      <c r="M23" s="322"/>
      <c r="N23" s="322"/>
      <c r="O23" s="322"/>
      <c r="P23" s="322"/>
      <c r="Q23" s="322"/>
      <c r="R23" s="322"/>
      <c r="S23" s="322"/>
      <c r="T23" s="322"/>
      <c r="U23" s="37" t="str">
        <f t="shared" si="0"/>
        <v>No</v>
      </c>
    </row>
    <row r="24" spans="3:21" x14ac:dyDescent="0.25">
      <c r="C24" s="32"/>
      <c r="D24" s="46" t="str">
        <f>IFERROR(IF(Year=Data!A$3," ",CHOOSE(Year-2022,Data!M12,Data!L12,Data!K12,Data!J12,Data!I12,Data!H12,Data!G12,Data!F12,Data!E12,Data!D12,Data!C12)),"")</f>
        <v xml:space="preserve"> </v>
      </c>
      <c r="E24" s="166" t="str">
        <f>IFERROR(IF(Year=Data!A$3," ",CHOOSE(Year-2022,Data!M33,Data!L33,Data!K33,Data!J33,Data!I33,Data!H33,Data!G33,Data!F33,Data!E33,Data!D33,Data!C33)),"")</f>
        <v xml:space="preserve"> </v>
      </c>
      <c r="F24" s="321" t="str">
        <f>IFERROR(IF(Year=Data!A$3," ",CHOOSE(Year-2022,Data!M53,Data!L53,Data!K53,Data!J53,Data!I53,Data!H53,Data!G53,Data!F53,Data!E53,Data!D53,Data!C53)),"")</f>
        <v xml:space="preserve"> </v>
      </c>
      <c r="G24" s="321"/>
      <c r="H24" s="322" t="str">
        <f>IFERROR(IF(Year=Data!A$3," ",CHOOSE(Year-2022,Data!M73,Data!L73,Data!K73,Data!J73,Data!I73,Data!H73,Data!G73,Data!F73,Data!E73,Data!D73,Data!C73)),"")</f>
        <v xml:space="preserve"> </v>
      </c>
      <c r="I24" s="322"/>
      <c r="J24" s="322"/>
      <c r="K24" s="322"/>
      <c r="L24" s="322"/>
      <c r="M24" s="322"/>
      <c r="N24" s="322"/>
      <c r="O24" s="322"/>
      <c r="P24" s="322"/>
      <c r="Q24" s="322"/>
      <c r="R24" s="322"/>
      <c r="S24" s="322"/>
      <c r="T24" s="322"/>
      <c r="U24" s="37" t="str">
        <f t="shared" si="0"/>
        <v>No</v>
      </c>
    </row>
    <row r="25" spans="3:21" x14ac:dyDescent="0.25">
      <c r="C25" s="32"/>
      <c r="D25" s="46" t="str">
        <f>IFERROR(IF(Year=Data!A$3," ",CHOOSE(Year-2022,Data!M13,Data!L13,Data!K13,Data!J13,Data!I13,Data!H13,Data!G13,Data!F13,Data!E13,Data!D13,Data!C13)),"")</f>
        <v xml:space="preserve"> </v>
      </c>
      <c r="E25" s="166" t="str">
        <f>IFERROR(IF(Year=Data!A$3," ",CHOOSE(Year-2022,Data!M34,Data!L34,Data!K34,Data!J34,Data!I34,Data!H34,Data!G34,Data!F34,Data!E34,Data!D34,Data!C34)),"")</f>
        <v xml:space="preserve"> </v>
      </c>
      <c r="F25" s="321" t="str">
        <f>IFERROR(IF(Year=Data!A$3," ",CHOOSE(Year-2022,Data!M54,Data!L54,Data!K54,Data!J54,Data!I54,Data!H54,Data!G54,Data!F54,Data!E54,Data!D54,Data!C54)),"")</f>
        <v xml:space="preserve"> </v>
      </c>
      <c r="G25" s="321"/>
      <c r="H25" s="322" t="str">
        <f>IFERROR(IF(Year=Data!A$3," ",CHOOSE(Year-2022,Data!M74,Data!L74,Data!K74,Data!J74,Data!I74,Data!H74,Data!G74,Data!F74,Data!E74,Data!D74,Data!C74)),"")</f>
        <v xml:space="preserve"> </v>
      </c>
      <c r="I25" s="322"/>
      <c r="J25" s="322"/>
      <c r="K25" s="322"/>
      <c r="L25" s="322"/>
      <c r="M25" s="322"/>
      <c r="N25" s="322"/>
      <c r="O25" s="322"/>
      <c r="P25" s="322"/>
      <c r="Q25" s="322"/>
      <c r="R25" s="322"/>
      <c r="S25" s="322"/>
      <c r="T25" s="322"/>
      <c r="U25" s="37" t="str">
        <f t="shared" si="0"/>
        <v>No</v>
      </c>
    </row>
    <row r="26" spans="3:21" x14ac:dyDescent="0.25">
      <c r="C26" s="32"/>
      <c r="D26" s="46" t="str">
        <f>IFERROR(IF(Year=Data!A$3," ",CHOOSE(Year-2022,Data!M14,Data!L14,Data!K14,Data!J14,Data!I14,Data!H14,Data!G14,Data!F14,Data!E14,Data!D14,Data!C14)),"")</f>
        <v xml:space="preserve"> </v>
      </c>
      <c r="E26" s="166" t="str">
        <f>IFERROR(IF(Year=Data!A$3," ",CHOOSE(Year-2022,Data!M35,Data!L35,Data!K35,Data!J35,Data!I35,Data!H35,Data!G35,Data!F35,Data!E35,Data!D35,Data!C35)),"")</f>
        <v xml:space="preserve"> </v>
      </c>
      <c r="F26" s="321" t="str">
        <f>IFERROR(IF(Year=Data!A$3," ",CHOOSE(Year-2022,Data!M55,Data!L55,Data!K55,Data!J55,Data!I55,Data!H55,Data!G55,Data!F55,Data!E55,Data!D55,Data!C55)),"")</f>
        <v xml:space="preserve"> </v>
      </c>
      <c r="G26" s="321"/>
      <c r="H26" s="322" t="str">
        <f>IFERROR(IF(Year=Data!A$3," ",CHOOSE(Year-2022,Data!M75,Data!L75,Data!K75,Data!J75,Data!I75,Data!H75,Data!G75,Data!F75,Data!E75,Data!D75,Data!C75)),"")</f>
        <v xml:space="preserve"> </v>
      </c>
      <c r="I26" s="322"/>
      <c r="J26" s="322"/>
      <c r="K26" s="322"/>
      <c r="L26" s="322"/>
      <c r="M26" s="322"/>
      <c r="N26" s="322"/>
      <c r="O26" s="322"/>
      <c r="P26" s="322"/>
      <c r="Q26" s="322"/>
      <c r="R26" s="322"/>
      <c r="S26" s="322"/>
      <c r="T26" s="322"/>
      <c r="U26" s="37" t="str">
        <f t="shared" si="0"/>
        <v>No</v>
      </c>
    </row>
    <row r="27" spans="3:21" x14ac:dyDescent="0.25">
      <c r="C27" s="32"/>
      <c r="D27" s="46" t="str">
        <f>IFERROR(IF(Year=Data!A$3," ",CHOOSE(Year-2022,Data!M15,Data!L15,Data!K15,Data!J15,Data!I15,Data!H15,Data!G15,Data!F15,Data!E15,Data!D15,Data!C15)),"")</f>
        <v xml:space="preserve"> </v>
      </c>
      <c r="E27" s="166" t="str">
        <f>IFERROR(IF(Year=Data!A$3," ",CHOOSE(Year-2022,Data!M36,Data!L36,Data!K36,Data!J36,Data!I36,Data!H36,Data!G36,Data!F36,Data!E36,Data!D36,Data!C36)),"")</f>
        <v xml:space="preserve"> </v>
      </c>
      <c r="F27" s="321" t="str">
        <f>IFERROR(IF(Year=Data!A$3," ",CHOOSE(Year-2022,Data!M56,Data!L56,Data!K56,Data!J56,Data!I56,Data!H56,Data!G56,Data!F56,Data!E56,Data!D56,Data!C56)),"")</f>
        <v xml:space="preserve"> </v>
      </c>
      <c r="G27" s="321"/>
      <c r="H27" s="322" t="str">
        <f>IFERROR(IF(Year=Data!A$3," ",CHOOSE(Year-2022,Data!M76,Data!L76,Data!K76,Data!J76,Data!I76,Data!H76,Data!G76,Data!F76,Data!E76,Data!D76,Data!C76)),"")</f>
        <v xml:space="preserve"> </v>
      </c>
      <c r="I27" s="322"/>
      <c r="J27" s="322"/>
      <c r="K27" s="322"/>
      <c r="L27" s="322"/>
      <c r="M27" s="322"/>
      <c r="N27" s="322"/>
      <c r="O27" s="322"/>
      <c r="P27" s="322"/>
      <c r="Q27" s="322"/>
      <c r="R27" s="322"/>
      <c r="S27" s="322"/>
      <c r="T27" s="322"/>
      <c r="U27" s="37" t="str">
        <f t="shared" si="0"/>
        <v>No</v>
      </c>
    </row>
    <row r="28" spans="3:21" x14ac:dyDescent="0.25">
      <c r="C28" s="32"/>
      <c r="D28" s="46" t="str">
        <f>IFERROR(IF(Year=Data!A$3," ",CHOOSE(Year-2022,Data!M16,Data!L16,Data!K16,Data!J16,Data!I16,Data!H16,Data!G16,Data!F16,Data!E16,Data!D16,Data!C16)),"")</f>
        <v xml:space="preserve"> </v>
      </c>
      <c r="E28" s="166" t="str">
        <f>IFERROR(IF(Year=Data!A$3," ",CHOOSE(Year-2022,Data!M37,Data!L37,Data!K37,Data!J37,Data!I37,Data!H37,Data!G37,Data!F37,Data!E37,Data!D37,Data!C37)),"")</f>
        <v xml:space="preserve"> </v>
      </c>
      <c r="F28" s="321" t="str">
        <f>IFERROR(IF(Year=Data!A$3," ",CHOOSE(Year-2022,Data!M57,Data!L57,Data!K57,Data!J57,Data!I57,Data!H57,Data!G57,Data!F57,Data!E57,Data!D57,Data!C57)),"")</f>
        <v xml:space="preserve"> </v>
      </c>
      <c r="G28" s="321"/>
      <c r="H28" s="322" t="str">
        <f>IFERROR(IF(Year=Data!A$3," ",CHOOSE(Year-2022,Data!M77,Data!L77,Data!K77,Data!J77,Data!I77,Data!H77,Data!G77,Data!F77,Data!E77,Data!D77,Data!C77)),"")</f>
        <v xml:space="preserve"> </v>
      </c>
      <c r="I28" s="322"/>
      <c r="J28" s="322"/>
      <c r="K28" s="322"/>
      <c r="L28" s="322"/>
      <c r="M28" s="322"/>
      <c r="N28" s="322"/>
      <c r="O28" s="322"/>
      <c r="P28" s="322"/>
      <c r="Q28" s="322"/>
      <c r="R28" s="322"/>
      <c r="S28" s="322"/>
      <c r="T28" s="322"/>
      <c r="U28" s="37" t="str">
        <f t="shared" si="0"/>
        <v>No</v>
      </c>
    </row>
    <row r="29" spans="3:21" x14ac:dyDescent="0.25">
      <c r="C29" s="32"/>
      <c r="D29" s="46" t="str">
        <f>IFERROR(IF(Year=Data!A$3," ",CHOOSE(Year-2022,Data!M17,Data!L17,Data!K17,Data!J17,Data!I17,Data!H17,Data!G17,Data!F17,Data!E17,Data!D17,Data!C17)),"")</f>
        <v xml:space="preserve"> </v>
      </c>
      <c r="E29" s="166" t="str">
        <f>IFERROR(IF(Year=Data!A$3," ",CHOOSE(Year-2022,Data!M38,Data!L38,Data!K38,Data!J38,Data!I38,Data!H38,Data!G38,Data!F38,Data!E38,Data!D38,Data!C38)),"")</f>
        <v xml:space="preserve"> </v>
      </c>
      <c r="F29" s="321" t="str">
        <f>IFERROR(IF(Year=Data!A$3," ",CHOOSE(Year-2022,Data!M58,Data!L58,Data!K58,Data!J58,Data!I58,Data!H58,Data!G58,Data!F58,Data!E58,Data!D58,Data!C58)),"")</f>
        <v xml:space="preserve"> </v>
      </c>
      <c r="G29" s="321"/>
      <c r="H29" s="322" t="str">
        <f>IFERROR(IF(Year=Data!A$3," ",CHOOSE(Year-2022,Data!M78,Data!L78,Data!K78,Data!J78,Data!I78,Data!H78,Data!G78,Data!F78,Data!E78,Data!D78,Data!C78)),"")</f>
        <v xml:space="preserve"> </v>
      </c>
      <c r="I29" s="322"/>
      <c r="J29" s="322"/>
      <c r="K29" s="322"/>
      <c r="L29" s="322"/>
      <c r="M29" s="322"/>
      <c r="N29" s="322"/>
      <c r="O29" s="322"/>
      <c r="P29" s="322"/>
      <c r="Q29" s="322"/>
      <c r="R29" s="322"/>
      <c r="S29" s="322"/>
      <c r="T29" s="322"/>
      <c r="U29" s="37" t="str">
        <f t="shared" si="0"/>
        <v>No</v>
      </c>
    </row>
    <row r="30" spans="3:21" x14ac:dyDescent="0.25">
      <c r="C30" s="32"/>
      <c r="D30" s="46" t="str">
        <f>IFERROR(IF(Year=Data!A$3," ",CHOOSE(Year-2022,Data!M18,Data!L18,Data!K18,Data!J18,Data!I18,Data!H18,Data!G18,Data!F18,Data!E18,Data!D18,Data!C18)),"")</f>
        <v xml:space="preserve"> </v>
      </c>
      <c r="E30" s="166" t="str">
        <f>IFERROR(IF(Year=Data!A$3," ",CHOOSE(Year-2022,Data!M39,Data!L39,Data!K39,Data!J39,Data!I39,Data!H39,Data!G39,Data!F39,Data!E39,Data!D39,Data!C39)),"")</f>
        <v xml:space="preserve"> </v>
      </c>
      <c r="F30" s="321" t="str">
        <f>IFERROR(IF(Year=Data!A$3," ",CHOOSE(Year-2022,Data!M59,Data!L59,Data!K59,Data!J59,Data!I59,Data!H59,Data!G59,Data!F59,Data!E59,Data!D59,Data!C59)),"")</f>
        <v xml:space="preserve"> </v>
      </c>
      <c r="G30" s="321"/>
      <c r="H30" s="322" t="str">
        <f>IFERROR(IF(Year=Data!A$3," ",CHOOSE(Year-2022,Data!M79,Data!L79,Data!K79,Data!J79,Data!I79,Data!H79,Data!G79,Data!F79,Data!E79,Data!D79,Data!C79)),"")</f>
        <v xml:space="preserve"> </v>
      </c>
      <c r="I30" s="322"/>
      <c r="J30" s="322"/>
      <c r="K30" s="322"/>
      <c r="L30" s="322"/>
      <c r="M30" s="322"/>
      <c r="N30" s="322"/>
      <c r="O30" s="322"/>
      <c r="P30" s="322"/>
      <c r="Q30" s="322"/>
      <c r="R30" s="322"/>
      <c r="S30" s="322"/>
      <c r="T30" s="322"/>
      <c r="U30" s="37" t="str">
        <f t="shared" si="0"/>
        <v>No</v>
      </c>
    </row>
    <row r="31" spans="3:21" x14ac:dyDescent="0.25">
      <c r="C31" s="32"/>
      <c r="D31" s="46" t="str">
        <f>IFERROR(IF(Year=Data!A$3," ",CHOOSE(Year-2022,Data!M19,Data!L19,Data!K19,Data!J19,Data!I19,Data!H19,Data!G19,Data!F19,Data!E19,Data!D19,Data!C19)),"")</f>
        <v xml:space="preserve"> </v>
      </c>
      <c r="E31" s="166" t="str">
        <f>IFERROR(IF(Year=Data!A$3," ",CHOOSE(Year-2022,Data!M40,Data!L40,Data!K40,Data!J40,Data!I40,Data!H40,Data!G40,Data!F40,Data!E40,Data!D40,Data!C40)),"")</f>
        <v xml:space="preserve"> </v>
      </c>
      <c r="F31" s="321" t="str">
        <f>IFERROR(IF(Year=Data!A$3," ",CHOOSE(Year-2022,Data!M60,Data!L60,Data!K60,Data!J60,Data!I60,Data!H60,Data!G60,Data!F60,Data!E60,Data!D60,Data!C60)),"")</f>
        <v xml:space="preserve"> </v>
      </c>
      <c r="G31" s="321"/>
      <c r="H31" s="322" t="str">
        <f>IFERROR(IF(Year=Data!A$3," ",CHOOSE(Year-2022,Data!M80,Data!L80,Data!K80,Data!J80,Data!I80,Data!H80,Data!G80,Data!F80,Data!E80,Data!D80,Data!C80)),"")</f>
        <v xml:space="preserve"> </v>
      </c>
      <c r="I31" s="322"/>
      <c r="J31" s="322"/>
      <c r="K31" s="322"/>
      <c r="L31" s="322"/>
      <c r="M31" s="322"/>
      <c r="N31" s="322"/>
      <c r="O31" s="322"/>
      <c r="P31" s="322"/>
      <c r="Q31" s="322"/>
      <c r="R31" s="322"/>
      <c r="S31" s="322"/>
      <c r="T31" s="322"/>
      <c r="U31" s="37" t="str">
        <f t="shared" si="0"/>
        <v>No</v>
      </c>
    </row>
    <row r="32" spans="3:21" x14ac:dyDescent="0.25">
      <c r="C32" s="32"/>
      <c r="D32" s="46" t="str">
        <f>IFERROR(IF(Year=Data!A$3," ",CHOOSE(Year-2022,Data!M20,Data!L20,Data!K20,Data!J20,Data!I20,Data!H20,Data!G20,Data!F20,Data!E20,Data!D20,Data!C20)),"")</f>
        <v xml:space="preserve"> </v>
      </c>
      <c r="E32" s="166" t="str">
        <f>IFERROR(IF(Year=Data!A$3," ",CHOOSE(Year-2022,Data!M41,Data!L41,Data!K41,Data!J41,Data!I41,Data!H41,Data!G41,Data!F41,Data!E41,Data!D41,Data!C41)),"")</f>
        <v xml:space="preserve"> </v>
      </c>
      <c r="F32" s="321" t="str">
        <f>IFERROR(IF(Year=Data!A$3," ",CHOOSE(Year-2022,Data!M61,Data!L61,Data!K61,Data!J61,Data!I61,Data!H61,Data!G61,Data!F61,Data!E61,Data!D61,Data!C61)),"")</f>
        <v xml:space="preserve"> </v>
      </c>
      <c r="G32" s="321"/>
      <c r="H32" s="322" t="str">
        <f>IFERROR(IF(Year=Data!A$3," ",CHOOSE(Year-2022,Data!M81,Data!L81,Data!K81,Data!J81,Data!I81,Data!H81,Data!G81,Data!F81,Data!E81,Data!D81,Data!C81)),"")</f>
        <v xml:space="preserve"> </v>
      </c>
      <c r="I32" s="322"/>
      <c r="J32" s="322"/>
      <c r="K32" s="322"/>
      <c r="L32" s="322"/>
      <c r="M32" s="322"/>
      <c r="N32" s="322"/>
      <c r="O32" s="322"/>
      <c r="P32" s="322"/>
      <c r="Q32" s="322"/>
      <c r="R32" s="322"/>
      <c r="S32" s="322"/>
      <c r="T32" s="322"/>
      <c r="U32" s="37" t="str">
        <f t="shared" si="0"/>
        <v>No</v>
      </c>
    </row>
    <row r="33" spans="2:27" x14ac:dyDescent="0.25">
      <c r="C33" s="327" t="str">
        <f>IF(OR(AND(C15=1,U15="Yes"),(AND(C16=1,U16="Yes")),(AND(C17=1,U17="Yes")),(AND(C18=1,U18="Yes")),(AND(C19=1,U19="Yes")),(AND(C20=1,U20="Yes")),(AND(C21=1,U21="Yes")),(AND(C22=1,U22="Yes")),(AND(C23=1,U23="Yes")),(AND(C24=1,U24="Yes")),(AND(C25=1,U25="Yes")),(AND(C26=1,U26="Yes")),(AND(C27=1,U27="Yes")),(AND(C28=1,U28="Yes")),(AND(C29=1,U29="Yes")),(AND(C30=1,U30="Yes")),(AND(C31=1,U31="Yes")),(AND(C32=1,U32="Yes"))),"STOP: This TDC Template does NOT Apply to this RFA.","")</f>
        <v/>
      </c>
      <c r="D33" s="327"/>
      <c r="E33" s="166"/>
    </row>
    <row r="34" spans="2:27" x14ac:dyDescent="0.25">
      <c r="W34" t="s">
        <v>217</v>
      </c>
    </row>
    <row r="35" spans="2:27" x14ac:dyDescent="0.25">
      <c r="B35" s="2" t="str">
        <f>"Identify the appropriate TDC Add-Ons"&amp;IF(ISERROR(VLOOKUP(1,Identify,2)),""," for"&amp;RIGHT(VLOOKUP(1,Identify,2),LEN(VLOOKUP(1,Identify,2))-1)&amp;".  Select mutliple choices if applicable.")</f>
        <v>Identify the appropriate TDC Add-Ons</v>
      </c>
      <c r="G35" s="40"/>
      <c r="H35" s="25"/>
      <c r="W35" s="2" t="s">
        <v>130</v>
      </c>
    </row>
    <row r="36" spans="2:27" x14ac:dyDescent="0.25">
      <c r="B36" s="5" t="str">
        <f>IFERROR(HLOOKUP(IFERROR(VLOOKUP(1,Identify,2)&amp;IF(OR($D$7="Broward",$D$7="Miami-Dade",$D$7="Palm Beach"),"SF","")," "),AddOns2,2+COUNTA(D$35:D35))," ")</f>
        <v xml:space="preserve"> </v>
      </c>
      <c r="C36" s="32"/>
      <c r="D36" s="6" t="str">
        <f>IFERROR(HLOOKUP(IFERROR(VLOOKUP(1,Identify,2)&amp;IF(OR($D$7="Broward",$D$7="Miami-Dade",$D$7="Palm Beach"),"SF","")," "),AddOns,2+COUNTA(D$35:D35))," ")</f>
        <v xml:space="preserve"> </v>
      </c>
      <c r="E36" s="6"/>
      <c r="L36" s="65"/>
      <c r="M36" s="65"/>
      <c r="N36" s="65"/>
      <c r="O36" s="65"/>
      <c r="P36" s="65"/>
      <c r="Q36" s="65"/>
      <c r="R36" s="65"/>
      <c r="S36" s="65"/>
      <c r="T36" s="65"/>
      <c r="W36" s="31" t="str">
        <f>IF(OR(AND($D36="Tax-Exempt Bonds Boost (Automatic Boost)"),AND($D36="PHA Boost (Automatic Boost)")),1,"")</f>
        <v/>
      </c>
    </row>
    <row r="37" spans="2:27" ht="15" customHeight="1" x14ac:dyDescent="0.25">
      <c r="B37" s="5" t="str">
        <f>IFERROR(HLOOKUP(IFERROR(VLOOKUP(1,Identify,2)&amp;IF(OR($D$7="Broward",$D$7="Miami-Dade",$D$7="Palm Beach"),"SF","")," "),AddOns2,2+COUNTA(D$35:D36))," ")</f>
        <v xml:space="preserve"> </v>
      </c>
      <c r="C37" s="32"/>
      <c r="D37" s="6" t="str">
        <f>IFERROR(HLOOKUP(IFERROR(VLOOKUP(1,Identify,2)&amp;IF(OR($D$7="Broward",$D$7="Miami-Dade",$D$7="Palm Beach"),"SF","")," "),AddOns,2+COUNTA(D$35:D36))," ")</f>
        <v xml:space="preserve"> </v>
      </c>
      <c r="E37" s="6"/>
      <c r="L37" s="65"/>
      <c r="M37" s="65"/>
      <c r="N37" s="65"/>
      <c r="O37" s="65"/>
      <c r="P37" s="65"/>
      <c r="Q37" s="65"/>
      <c r="R37" s="65"/>
      <c r="S37" s="65"/>
      <c r="T37" s="65"/>
      <c r="W37" s="31" t="str">
        <f>IF(OR(AND($D37="Tax-Exempt Bonds Boost (Automatic Boost)"),AND($D37="PHA Boost (Automatic Boost)")),1,"")</f>
        <v/>
      </c>
    </row>
    <row r="38" spans="2:27" x14ac:dyDescent="0.25">
      <c r="B38" s="225"/>
      <c r="C38" s="226"/>
      <c r="D38" t="s">
        <v>131</v>
      </c>
      <c r="L38" s="65"/>
      <c r="M38" s="65"/>
      <c r="N38" s="65"/>
      <c r="O38" s="65"/>
      <c r="P38" s="65"/>
      <c r="Q38" s="65"/>
      <c r="R38" s="65"/>
      <c r="S38" s="65"/>
      <c r="T38" s="65"/>
      <c r="W38" s="31"/>
    </row>
    <row r="39" spans="2:27" x14ac:dyDescent="0.25">
      <c r="L39" s="64"/>
      <c r="W39" s="31"/>
    </row>
    <row r="40" spans="2:27" x14ac:dyDescent="0.25">
      <c r="B40" s="2" t="str">
        <f>"Identify the appropriate TDC Multipliers"&amp;IF(ISERROR(VLOOKUP(1,Identify,2)),""," for"&amp;RIGHT(VLOOKUP(1,Identify,2),LEN(VLOOKUP(1,Identify,2))-1)&amp;".  Select mutliple choices if applicable.")</f>
        <v>Identify the appropriate TDC Multipliers</v>
      </c>
      <c r="H40" s="25"/>
      <c r="W40" s="31"/>
    </row>
    <row r="41" spans="2:27" x14ac:dyDescent="0.25">
      <c r="B41" s="4" t="str">
        <f>IFERROR(HLOOKUP(IFERROR(VLOOKUP(1,Identify,2)&amp;IF(OR($D$7="Broward",$D$7="Miami-Dade",$D$7="Palm Beach"),"SF","")," "),MultiplierNumbers,2+COUNTA(D$40:D40))," ")</f>
        <v xml:space="preserve"> </v>
      </c>
      <c r="C41" s="32"/>
      <c r="D41" s="6" t="str">
        <f>IFERROR(HLOOKUP(IFERROR(VLOOKUP(1,Identify,2)&amp;IF(OR($D$7="Broward",$D$7="Miami-Dade",$D$7="Palm Beach"),"SF","")," "),MultiplierNames,2+COUNTA(D$40:D40))," ")</f>
        <v xml:space="preserve"> </v>
      </c>
      <c r="E41" s="7"/>
      <c r="F41" s="25"/>
      <c r="W41" s="31" t="str">
        <f>IF(OR(,D41="PSN Demographic multiplier",D41="Homeless Demographic (Automatic Multiplier)",D41="Homeless Demographic &amp; PDC",D41="Homeless Demographic (Automatic Multiplier)",D41="High Utilizer Demographic (Automatic Multiplier)"),1,"")</f>
        <v/>
      </c>
    </row>
    <row r="42" spans="2:27" x14ac:dyDescent="0.25">
      <c r="B42" s="4" t="str">
        <f>IFERROR(HLOOKUP(IFERROR(VLOOKUP(1,Identify,2)&amp;IF(OR($D$7="Broward",$D$7="Miami-Dade",$D$7="Palm Beach"),"SF","")," "),MultiplierNumbers,2+COUNTA(D$40:D41))," ")</f>
        <v xml:space="preserve"> </v>
      </c>
      <c r="C42" s="32"/>
      <c r="D42" s="6" t="str">
        <f>IFERROR(HLOOKUP(IFERROR(VLOOKUP(1,Identify,2)&amp;IF(OR($D$7="Broward",$D$7="Miami-Dade",$D$7="Palm Beach"),"SF","")," "),MultiplierNames,2+COUNTA(D$40:D41))," ")</f>
        <v xml:space="preserve"> </v>
      </c>
      <c r="W42" s="31" t="str">
        <f>IF(OR(D42="DD Demo. in a Large Dev.",D42="PSN Demographic multiplier",D42="Homeless Demographic (Automatic Multiplier)",D42="Homeless Demographic &amp; PDC",D42="Homeless Demographic (Automatic Multiplier)",D42="High Utilizer Demographic (Automatic Multiplier)"),1,"")</f>
        <v/>
      </c>
    </row>
    <row r="43" spans="2:27" x14ac:dyDescent="0.25">
      <c r="B43" s="4" t="str">
        <f>IFERROR(HLOOKUP(IFERROR(VLOOKUP(1,Identify,2)&amp;IF(OR($D$7="Broward",$D$7="Miami-Dade",$D$7="Palm Beach"),"SF","")," "),MultiplierNumbers,2+COUNTA(D$40:D42))," ")</f>
        <v xml:space="preserve"> </v>
      </c>
      <c r="C43" s="32"/>
      <c r="D43" s="6" t="str">
        <f>IFERROR(HLOOKUP(IFERROR(VLOOKUP(1,Identify,2)&amp;IF(OR($D$7="Broward",$D$7="Miami-Dade",$D$7="Palm Beach"),"SF","")," "),MultiplierNames,2+COUNTA(D$40:D42))," ")</f>
        <v xml:space="preserve"> </v>
      </c>
      <c r="E43" s="7"/>
      <c r="W43" s="31" t="str">
        <f>IF(OR(D43="DD Demo. in a Large Dev.",D43="PSN Demographic multiplier",D43="Homeless Demographic (Automatic Multiplier)",D43="Homeless Demographic &amp; PDC",D43="Homeless Demographic (Automatic Multiplier)",D43="High Utilizer Demographic (Automatic Multiplier)"),1,"")</f>
        <v/>
      </c>
    </row>
    <row r="44" spans="2:27" x14ac:dyDescent="0.25">
      <c r="B44" s="4" t="str">
        <f>IFERROR(HLOOKUP(IFERROR(VLOOKUP(1,Identify,2)&amp;IF(OR($D$7="Broward",$D$7="Miami-Dade",$D$7="Palm Beach"),"SF","")," "),MultiplierNumbers,2+COUNTA(D$40:D43))," ")</f>
        <v xml:space="preserve"> </v>
      </c>
      <c r="C44" s="32"/>
      <c r="D44" s="6" t="str">
        <f>IFERROR(HLOOKUP(IFERROR(VLOOKUP(1,Identify,2)&amp;IF(OR($D$7="Broward",$D$7="Miami-Dade",$D$7="Palm Beach"),"SF","")," "),MultiplierNames,2+COUNTA(D$40:D43))," ")</f>
        <v xml:space="preserve"> </v>
      </c>
      <c r="E44" s="7"/>
      <c r="W44" s="31" t="str">
        <f>IF(OR(D44="DD Demo. in a Large Dev.",D44="PSN Demographic multiplier",D44="Homeless Demographic (Automatic Multiplier)",D44="Homeless Demographic &amp; PDC",D44="Homeless Demographic (Automatic Multiplier)",D44="High Utilizer Demographic (Automatic Multiplier)"),1,"")</f>
        <v/>
      </c>
    </row>
    <row r="45" spans="2:27" x14ac:dyDescent="0.25">
      <c r="B45" s="4" t="str">
        <f>IFERROR(HLOOKUP(IFERROR(VLOOKUP(1,Identify,2)&amp;IF(OR($D$7="Broward",$D$7="Miami-Dade",$D$7="Palm Beach"),"SF","")," "),MultiplierNumbers,2+COUNTA(D$40:D44))," ")</f>
        <v xml:space="preserve"> </v>
      </c>
      <c r="C45" s="32"/>
      <c r="D45" s="6" t="str">
        <f>IFERROR(HLOOKUP(IFERROR(VLOOKUP(1,Identify,2)&amp;IF(OR($D$7="Broward",$D$7="Miami-Dade",$D$7="Palm Beach"),"SF","")," "),MultiplierNames,2+COUNTA(D$40:D44))," ")</f>
        <v xml:space="preserve"> </v>
      </c>
      <c r="E45" s="7"/>
      <c r="W45" s="31" t="str">
        <f>IF(OR(D45="DD Demo. in a Large Dev.",D45="PSN Demographic multiplier",D45="Homeless Demographic (Automatic Multiplier)",D45="Homeless Demographic &amp; PDC",D45="Homeless Demographic (Automatic Multiplier)",D45="High Utilizer Demographic (Automatic Multiplier)"),1,"")</f>
        <v/>
      </c>
    </row>
    <row r="46" spans="2:27" x14ac:dyDescent="0.25">
      <c r="B46" s="4" t="str">
        <f>IFERROR(HLOOKUP(IFERROR(VLOOKUP(1,Identify,2)&amp;IF(OR($D$7="Broward",$D$7="Miami-Dade",$D$7="Palm Beach"),"SF","")," "),MultiplierNumbers,2+COUNTA(D$40:D45))," ")</f>
        <v xml:space="preserve"> </v>
      </c>
      <c r="C46" s="32"/>
      <c r="D46" s="6" t="str">
        <f>IFERROR(HLOOKUP(IFERROR(VLOOKUP(1,Identify,2)&amp;IF(OR($D$7="Broward",$D$7="Miami-Dade",$D$7="Palm Beach"),"SF","")," "),MultiplierNames,2+COUNTA(D$40:D45))," ")</f>
        <v xml:space="preserve"> </v>
      </c>
      <c r="E46" s="7"/>
      <c r="G46" s="246" t="s">
        <v>410</v>
      </c>
      <c r="W46" s="31" t="str">
        <f>IF(OR(D46="DD Demo. in a Large Dev.",D46="PSN Demographic multiplier",D46="Homeless Demographic (Automatic Multiplier)",D46="Homeless Demographic &amp; PDC",D46="Homeless Demographic (Automatic Multiplier)",D46="High Utilizer Demographic (Automatic Multiplier)"),1,"")</f>
        <v/>
      </c>
    </row>
    <row r="47" spans="2:27" x14ac:dyDescent="0.25">
      <c r="B47" s="4" t="str">
        <f>IFERROR(HLOOKUP(IFERROR(VLOOKUP(1,Identify,2)&amp;IF(OR($D$7="Broward",$D$7="Miami-Dade",$D$7="Palm Beach"),"SF","")," "),MultiplierNumbers,2+COUNTA(D$40:D46))," ")</f>
        <v xml:space="preserve"> </v>
      </c>
      <c r="C47" s="32"/>
      <c r="D47" s="6" t="str">
        <f>IFERROR(HLOOKUP(IFERROR(VLOOKUP(1,Identify,2)&amp;IF(OR($D$7="Broward",$D$7="Miami-Dade",$D$7="Palm Beach"),"SF","")," "),MultiplierNames,2+COUNTA(D$40:D46))," ")</f>
        <v xml:space="preserve"> </v>
      </c>
      <c r="E47" s="7"/>
      <c r="G47" s="246" t="s">
        <v>411</v>
      </c>
      <c r="H47" s="25"/>
    </row>
    <row r="48" spans="2:27" x14ac:dyDescent="0.25">
      <c r="G48" s="246" t="s">
        <v>412</v>
      </c>
      <c r="H48" s="25"/>
      <c r="AA48" t="s">
        <v>216</v>
      </c>
    </row>
    <row r="49" spans="2:31" x14ac:dyDescent="0.25">
      <c r="B49" s="326" t="s">
        <v>129</v>
      </c>
      <c r="C49" s="326"/>
      <c r="D49" s="326"/>
      <c r="E49" s="129" t="s">
        <v>109</v>
      </c>
      <c r="F49" s="129" t="s">
        <v>110</v>
      </c>
      <c r="G49" s="129" t="s">
        <v>112</v>
      </c>
      <c r="H49" s="129" t="s">
        <v>111</v>
      </c>
      <c r="I49" s="129" t="s">
        <v>113</v>
      </c>
      <c r="J49" s="129" t="s">
        <v>275</v>
      </c>
      <c r="AA49" s="66" t="s">
        <v>140</v>
      </c>
      <c r="AB49" s="67" t="s">
        <v>136</v>
      </c>
      <c r="AC49" s="68" t="s">
        <v>137</v>
      </c>
      <c r="AD49" s="69" t="s">
        <v>139</v>
      </c>
      <c r="AE49" s="69" t="s">
        <v>138</v>
      </c>
    </row>
    <row r="50" spans="2:31" ht="75" x14ac:dyDescent="0.25">
      <c r="B50" s="326"/>
      <c r="C50" s="326"/>
      <c r="D50" s="326"/>
      <c r="E50" s="130" t="s">
        <v>218</v>
      </c>
      <c r="F50" s="263" t="s">
        <v>234</v>
      </c>
      <c r="G50" s="8" t="str">
        <f>"Add-On"&amp;IF(SUM(C36:C38)&gt;1,"s","")</f>
        <v>Add-On</v>
      </c>
      <c r="H50" s="8" t="str">
        <f>"Multiplier"&amp;IF(SUM(C41:C47)&gt;1,"s","")</f>
        <v>Multiplier</v>
      </c>
      <c r="I50" s="130" t="s">
        <v>210</v>
      </c>
      <c r="J50" s="130" t="s">
        <v>235</v>
      </c>
      <c r="K50" s="264" t="s">
        <v>424</v>
      </c>
      <c r="L50" s="264" t="s">
        <v>425</v>
      </c>
      <c r="M50" s="249"/>
      <c r="AA50" s="66" t="s">
        <v>141</v>
      </c>
      <c r="AB50" s="70">
        <f>COUNTIF(AB51:AB57,MAX(AB51:AB57))</f>
        <v>7</v>
      </c>
      <c r="AC50" s="71">
        <f>COUNTIF(AB51:AB57,"&gt;0")</f>
        <v>0</v>
      </c>
      <c r="AD50" s="72"/>
      <c r="AE50" s="72">
        <f t="shared" ref="AE50:AE57" si="1">IFERROR(RANK(AD50,AD$51:AD$57,0),8)</f>
        <v>8</v>
      </c>
    </row>
    <row r="51" spans="2:31" x14ac:dyDescent="0.25">
      <c r="B51" s="36" t="str">
        <f>IF(AND(N(C51)&gt;0,OR(RIGHT(D51,4)="(NC)",RIGHT(D51,3)="NC ")),"NC",IF(AND(N(C51)&gt;0,OR(RIGHT(D51,7)="(Rehab)",RIGHT(D51,5)="Rehab")),"Rehab",""))</f>
        <v/>
      </c>
      <c r="C51" s="32"/>
      <c r="D51" s="6" t="str">
        <f>IFERROR(HLOOKUP(IFERROR(VLOOKUP(1,Identify,2)&amp;IF(OR($D$7="Broward",$D$7="Miami-Dade",$D$7="Palm Beach"),"SF","")," "),Types,2+COUNTA($D$50:$D50))," ")</f>
        <v xml:space="preserve"> </v>
      </c>
      <c r="E51" s="227" t="str">
        <f>IFERROR(HLOOKUP(IFERROR(VLOOKUP(1,Identify,2)&amp;IF(OR($D$7="Broward",$D$7="Miami-Dade",$D$7="Palm Beach"),"SF","")," "),Base01,2+COUNTA($D$50:$D50))," ")</f>
        <v xml:space="preserve"> </v>
      </c>
      <c r="F51" s="251" t="str">
        <f>IFERROR(E51/IFERROR(HLOOKUP(IFERROR(VLOOKUP(1,Identify,2)," "),SoftCostMultiplier,2+COUNTA(D$50:$D50))," "),"")</f>
        <v/>
      </c>
      <c r="G51" s="228">
        <f t="shared" ref="G51:G55" si="2">IF(($C$36=1),$B$36,0)+IF(($C$37=1),$B$37,0)+IF(($C$38=1),$B$38,0)</f>
        <v>0</v>
      </c>
      <c r="H51" s="229">
        <f>IF(($C$41=1),$B$41,1)*IF(($C$42=1),$B$42,1)*IF(($C$43=1),$B$43,1)*IF(($C$44=1),$B$44,1)*IF(($C$45=1),$B$45,1)*IF(($C$46=1),$B$46,1)*IF(($C$47=1),$B$47,1)</f>
        <v>1</v>
      </c>
      <c r="I51" s="229" t="str">
        <f>IFERROR(HLOOKUP(IFERROR(VLOOKUP(1,Identify,2)&amp;IF(OR($D$7="Broward",$D$7="Miami-Dade",$D$7="Palm Beach"),"SF","")," "),EscalationFactor,2+COUNTA($D$50:$D50))," ")</f>
        <v xml:space="preserve"> </v>
      </c>
      <c r="J51" s="227">
        <f>ROUND((N(F51)+N(G51))/IF(N(H51)=0,1,N(H51))*(1+N(I51)),2)</f>
        <v>0</v>
      </c>
      <c r="K51" s="227" t="str">
        <f>IF(AND(IFERROR(VALUE(LEFT(VLOOKUP(1,Identify,3),4)),0)&gt;=2026,OR(AND($D$36="Tax-Exempt Bonds Boost",$C$36&gt;0),AND($D$37="Tax-Exempt Bonds Boost",$C$37&gt;0))),IF(C51&gt;0,(1+I51)*E51/H51,""),"")</f>
        <v/>
      </c>
      <c r="L51" s="227" t="str">
        <f>IF(K51="","",J51-K51)</f>
        <v/>
      </c>
      <c r="AA51" s="73" t="str">
        <f t="shared" ref="AA51" si="3">IF(C$58=0,"",IF(AD61*C51/C$58&lt;1,"",AD61*C51/C$58))</f>
        <v/>
      </c>
      <c r="AB51" s="70">
        <f t="shared" ref="AB51:AB57" si="4">N(C51)</f>
        <v>0</v>
      </c>
      <c r="AC51" s="70">
        <f>IF(AND(AB$50=AC$50,AB$50&gt;1),RANK(E51,E$51:E$57),RANK(AB51,AB$51:AB$57))</f>
        <v>1</v>
      </c>
      <c r="AD51" s="72" t="str">
        <f t="shared" ref="AD51:AD57" si="5">IF(N(AB51)+(8-N(AC51))/10&lt;1,"",N(AB51)+(8-N(AC51))/10)</f>
        <v/>
      </c>
      <c r="AE51" s="72">
        <f t="shared" si="1"/>
        <v>8</v>
      </c>
    </row>
    <row r="52" spans="2:31" x14ac:dyDescent="0.25">
      <c r="B52" s="36" t="str">
        <f t="shared" ref="B52:B57" si="6">IF(AND(N(C52)&gt;0,OR(RIGHT(D52,4)="(NC)",RIGHT(D52,3)="NC ")),"NC",IF(AND(N(C52)&gt;0,OR(RIGHT(D52,7)="(Rehab)",RIGHT(D52,5)="Rehab")),"Rehab",""))</f>
        <v/>
      </c>
      <c r="C52" s="32"/>
      <c r="D52" s="6" t="str">
        <f>IFERROR(HLOOKUP(IFERROR(VLOOKUP(1,Identify,2)&amp;IF(OR($D$7="Broward",$D$7="Miami-Dade",$D$7="Palm Beach"),"SF","")," "),Types,2+COUNTA($D$50:$D51))," ")</f>
        <v xml:space="preserve"> </v>
      </c>
      <c r="E52" s="227" t="str">
        <f>IFERROR(HLOOKUP(IFERROR(VLOOKUP(1,Identify,2)&amp;IF(OR($D$7="Broward",$D$7="Miami-Dade",$D$7="Palm Beach"),"SF","")," "),Base01,2+COUNTA($D$50:$D51))," ")</f>
        <v xml:space="preserve"> </v>
      </c>
      <c r="F52" s="251" t="str">
        <f>IFERROR(E52/IFERROR(HLOOKUP(IFERROR(VLOOKUP(1,Identify,2)," "),SoftCostMultiplier,2+COUNTA(D$50:$D51))," "),"")</f>
        <v/>
      </c>
      <c r="G52" s="228">
        <f t="shared" si="2"/>
        <v>0</v>
      </c>
      <c r="H52" s="229">
        <f t="shared" ref="H52:H57" si="7">IF(($C$41=1),$B$41,1)*IF(($C$42=1),$B$42,1)*IF(($C$43=1),$B$43,1)*IF(($C$44=1),$B$44,1)*IF(($C$45=1),$B$45,1)*IF(($C$46=1),$B$46,1)*IF(($C$47=1),$B$47,1)</f>
        <v>1</v>
      </c>
      <c r="I52" s="229" t="str">
        <f>IFERROR(HLOOKUP(IFERROR(VLOOKUP(1,Identify,2)&amp;IF(OR($D$7="Broward",$D$7="Miami-Dade",$D$7="Palm Beach"),"SF","")," "),EscalationFactor,2+COUNTA($D$50:$D51))," ")</f>
        <v xml:space="preserve"> </v>
      </c>
      <c r="J52" s="227">
        <f t="shared" ref="J52:J57" si="8">ROUND((N(F52)+N(G52))/IF(N(H52)=0,1,N(H52))*(1+N(I52)),2)</f>
        <v>0</v>
      </c>
      <c r="K52" s="227" t="str">
        <f t="shared" ref="K52:K57" si="9">IF(AND(IFERROR(VALUE(LEFT(VLOOKUP(1,Identify,3),4)),0)&gt;=2026,OR(AND($D$36="Tax-Exempt Bonds Boost",$C$36&gt;0),AND($D$37="Tax-Exempt Bonds Boost",$C$37&gt;0))),IF(C52&gt;0,(1+I52)*E52/H52,""),"")</f>
        <v/>
      </c>
      <c r="L52" s="227" t="str">
        <f t="shared" ref="L52:L57" si="10">IF(K52="","",J52-K52)</f>
        <v/>
      </c>
      <c r="AA52" s="73" t="str">
        <f>IF(C$58=0,"",IF(#REF!*C52/C$58&lt;1,"",#REF!*C52/C$58))</f>
        <v/>
      </c>
      <c r="AB52" s="70">
        <f t="shared" si="4"/>
        <v>0</v>
      </c>
      <c r="AC52" s="70">
        <f t="shared" ref="AC52:AC57" si="11">IF(AND(AB$50=AC$50,AB$50&gt;1),IFERROR(RANK(E52,E$51:E$57),""),IFERROR(RANK(AB52,AB$51:AB$57),""))</f>
        <v>1</v>
      </c>
      <c r="AD52" s="72" t="str">
        <f t="shared" si="5"/>
        <v/>
      </c>
      <c r="AE52" s="72">
        <f t="shared" si="1"/>
        <v>8</v>
      </c>
    </row>
    <row r="53" spans="2:31" ht="15" customHeight="1" x14ac:dyDescent="0.25">
      <c r="B53" s="36" t="str">
        <f t="shared" si="6"/>
        <v/>
      </c>
      <c r="C53" s="32"/>
      <c r="D53" s="6" t="str">
        <f>IFERROR(HLOOKUP(IFERROR(VLOOKUP(1,Identify,2)&amp;IF(OR($D$7="Broward",$D$7="Miami-Dade",$D$7="Palm Beach"),"SF","")," "),Types,2+COUNTA($D$50:$D52))," ")</f>
        <v xml:space="preserve"> </v>
      </c>
      <c r="E53" s="227" t="str">
        <f>IFERROR(HLOOKUP(IFERROR(VLOOKUP(1,Identify,2)&amp;IF(OR($D$7="Broward",$D$7="Miami-Dade",$D$7="Palm Beach"),"SF","")," "),Base01,2+COUNTA($D$50:$D52))," ")</f>
        <v xml:space="preserve"> </v>
      </c>
      <c r="F53" s="251" t="str">
        <f>IFERROR(E53/IFERROR(HLOOKUP(IFERROR(VLOOKUP(1,Identify,2)," "),SoftCostMultiplier,2+COUNTA(D$50:$D52))," "),"")</f>
        <v/>
      </c>
      <c r="G53" s="228">
        <f t="shared" si="2"/>
        <v>0</v>
      </c>
      <c r="H53" s="229">
        <f t="shared" si="7"/>
        <v>1</v>
      </c>
      <c r="I53" s="229" t="str">
        <f>IFERROR(HLOOKUP(IFERROR(VLOOKUP(1,Identify,2)&amp;IF(OR($D$7="Broward",$D$7="Miami-Dade",$D$7="Palm Beach"),"SF","")," "),EscalationFactor,2+COUNTA($D$50:$D52))," ")</f>
        <v xml:space="preserve"> </v>
      </c>
      <c r="J53" s="227">
        <f t="shared" si="8"/>
        <v>0</v>
      </c>
      <c r="K53" s="227" t="str">
        <f t="shared" si="9"/>
        <v/>
      </c>
      <c r="L53" s="227" t="str">
        <f t="shared" si="10"/>
        <v/>
      </c>
      <c r="AA53" s="73" t="str">
        <f>IF(C$58=0,"",IF(#REF!*C53/C$58&lt;1,"",#REF!*C53/C$58))</f>
        <v/>
      </c>
      <c r="AB53" s="70">
        <f t="shared" si="4"/>
        <v>0</v>
      </c>
      <c r="AC53" s="70">
        <f t="shared" si="11"/>
        <v>1</v>
      </c>
      <c r="AD53" s="72" t="str">
        <f t="shared" si="5"/>
        <v/>
      </c>
      <c r="AE53" s="72">
        <f t="shared" si="1"/>
        <v>8</v>
      </c>
    </row>
    <row r="54" spans="2:31" ht="15" customHeight="1" x14ac:dyDescent="0.25">
      <c r="B54" s="36" t="str">
        <f t="shared" si="6"/>
        <v/>
      </c>
      <c r="C54" s="32"/>
      <c r="D54" s="6" t="str">
        <f>IFERROR(HLOOKUP(IFERROR(VLOOKUP(1,Identify,2)&amp;IF(OR($D$7="Broward",$D$7="Miami-Dade",$D$7="Palm Beach"),"SF","")," "),Types,2+COUNTA($D$50:$D53))," ")</f>
        <v xml:space="preserve"> </v>
      </c>
      <c r="E54" s="227" t="str">
        <f>IFERROR(HLOOKUP(IFERROR(VLOOKUP(1,Identify,2)&amp;IF(OR($D$7="Broward",$D$7="Miami-Dade",$D$7="Palm Beach"),"SF","")," "),Base01,2+COUNTA($D$50:$D53))," ")</f>
        <v xml:space="preserve"> </v>
      </c>
      <c r="F54" s="251" t="str">
        <f>IFERROR(E54/IFERROR(HLOOKUP(IFERROR(VLOOKUP(1,Identify,2)," "),SoftCostMultiplier,2+COUNTA(D$50:$D53))," "),"")</f>
        <v/>
      </c>
      <c r="G54" s="228">
        <f t="shared" si="2"/>
        <v>0</v>
      </c>
      <c r="H54" s="229">
        <f t="shared" si="7"/>
        <v>1</v>
      </c>
      <c r="I54" s="229" t="str">
        <f>IFERROR(HLOOKUP(IFERROR(VLOOKUP(1,Identify,2)&amp;IF(OR($D$7="Broward",$D$7="Miami-Dade",$D$7="Palm Beach"),"SF","")," "),EscalationFactor,2+COUNTA($D$50:$D53))," ")</f>
        <v xml:space="preserve"> </v>
      </c>
      <c r="J54" s="227">
        <f t="shared" si="8"/>
        <v>0</v>
      </c>
      <c r="K54" s="227" t="str">
        <f t="shared" si="9"/>
        <v/>
      </c>
      <c r="L54" s="227" t="str">
        <f t="shared" si="10"/>
        <v/>
      </c>
      <c r="AA54" s="73" t="str">
        <f>IF(C$58=0,"",IF(#REF!*C54/C$58&lt;1,"",#REF!*C54/C$58))</f>
        <v/>
      </c>
      <c r="AB54" s="70">
        <f t="shared" si="4"/>
        <v>0</v>
      </c>
      <c r="AC54" s="70">
        <f t="shared" si="11"/>
        <v>1</v>
      </c>
      <c r="AD54" s="72" t="str">
        <f t="shared" si="5"/>
        <v/>
      </c>
      <c r="AE54" s="72">
        <f t="shared" si="1"/>
        <v>8</v>
      </c>
    </row>
    <row r="55" spans="2:31" x14ac:dyDescent="0.25">
      <c r="B55" s="36" t="str">
        <f t="shared" si="6"/>
        <v/>
      </c>
      <c r="C55" s="32"/>
      <c r="D55" s="6" t="str">
        <f>IFERROR(HLOOKUP(IFERROR(VLOOKUP(1,Identify,2)&amp;IF(OR($D$7="Broward",$D$7="Miami-Dade",$D$7="Palm Beach"),"SF","")," "),Types,2+COUNTA($D$50:$D54))," ")</f>
        <v xml:space="preserve"> </v>
      </c>
      <c r="E55" s="227" t="str">
        <f>IFERROR(HLOOKUP(IFERROR(VLOOKUP(1,Identify,2)&amp;IF(OR($D$7="Broward",$D$7="Miami-Dade",$D$7="Palm Beach"),"SF","")," "),Base01,2+COUNTA($D$50:$D54))," ")</f>
        <v xml:space="preserve"> </v>
      </c>
      <c r="F55" s="251" t="str">
        <f>IFERROR(E55/IFERROR(HLOOKUP(IFERROR(VLOOKUP(1,Identify,2)," "),SoftCostMultiplier,2+COUNTA(D$50:$D54))," "),"")</f>
        <v/>
      </c>
      <c r="G55" s="228">
        <f t="shared" si="2"/>
        <v>0</v>
      </c>
      <c r="H55" s="229">
        <f t="shared" si="7"/>
        <v>1</v>
      </c>
      <c r="I55" s="229" t="str">
        <f>IFERROR(HLOOKUP(IFERROR(VLOOKUP(1,Identify,2)&amp;IF(OR($D$7="Broward",$D$7="Miami-Dade",$D$7="Palm Beach"),"SF","")," "),EscalationFactor,2+COUNTA($D$50:$D54))," ")</f>
        <v xml:space="preserve"> </v>
      </c>
      <c r="J55" s="227">
        <f t="shared" si="8"/>
        <v>0</v>
      </c>
      <c r="K55" s="227" t="str">
        <f t="shared" si="9"/>
        <v/>
      </c>
      <c r="L55" s="227" t="str">
        <f t="shared" si="10"/>
        <v/>
      </c>
      <c r="AA55" s="73" t="str">
        <f>IF(C$58=0,"",IF(#REF!*C55/C$58&lt;1,"",#REF!*C55/C$58))</f>
        <v/>
      </c>
      <c r="AB55" s="70">
        <f t="shared" si="4"/>
        <v>0</v>
      </c>
      <c r="AC55" s="70">
        <f t="shared" si="11"/>
        <v>1</v>
      </c>
      <c r="AD55" s="72" t="str">
        <f t="shared" si="5"/>
        <v/>
      </c>
      <c r="AE55" s="72">
        <f t="shared" si="1"/>
        <v>8</v>
      </c>
    </row>
    <row r="56" spans="2:31" x14ac:dyDescent="0.25">
      <c r="B56" s="36" t="str">
        <f t="shared" si="6"/>
        <v/>
      </c>
      <c r="C56" s="32"/>
      <c r="D56" s="6" t="str">
        <f>IFERROR(HLOOKUP(IFERROR(VLOOKUP(1,Identify,2)&amp;IF(OR($D$7="Broward",$D$7="Miami-Dade",$D$7="Palm Beach"),"SF","")," "),Types,2+COUNTA($D$50:$D55))," ")</f>
        <v xml:space="preserve"> </v>
      </c>
      <c r="E56" s="227" t="str">
        <f>IFERROR(HLOOKUP(IFERROR(VLOOKUP(1,Identify,2)&amp;IF(OR($D$7="Broward",$D$7="Miami-Dade",$D$7="Palm Beach"),"SF","")," "),Base01,2+COUNTA($D$50:$D55))," ")</f>
        <v xml:space="preserve"> </v>
      </c>
      <c r="F56" s="251" t="str">
        <f>IFERROR(E56/IFERROR(HLOOKUP(IFERROR(VLOOKUP(1,Identify,2)," "),SoftCostMultiplier,2+COUNTA(D$50:$D55))," "),"")</f>
        <v/>
      </c>
      <c r="G56" s="228">
        <f>IF(($C$36=1),$B$36,0)+IF(($C$37=1),$B$37,0)+IF(($C$38=1),$B$38,0)</f>
        <v>0</v>
      </c>
      <c r="H56" s="229">
        <f t="shared" si="7"/>
        <v>1</v>
      </c>
      <c r="I56" s="229" t="str">
        <f>IFERROR(HLOOKUP(IFERROR(VLOOKUP(1,Identify,2)&amp;IF(OR($D$7="Broward",$D$7="Miami-Dade",$D$7="Palm Beach"),"SF","")," "),EscalationFactor,2+COUNTA($D$50:$D55))," ")</f>
        <v xml:space="preserve"> </v>
      </c>
      <c r="J56" s="227">
        <f t="shared" si="8"/>
        <v>0</v>
      </c>
      <c r="K56" s="227" t="str">
        <f t="shared" si="9"/>
        <v/>
      </c>
      <c r="L56" s="227" t="str">
        <f t="shared" si="10"/>
        <v/>
      </c>
      <c r="AA56" s="73" t="str">
        <f>IF(C$58=0,"",IF(#REF!*C56/C$58&lt;1,"",#REF!*C56/C$58))</f>
        <v/>
      </c>
      <c r="AB56" s="70">
        <f t="shared" si="4"/>
        <v>0</v>
      </c>
      <c r="AC56" s="70">
        <f t="shared" si="11"/>
        <v>1</v>
      </c>
      <c r="AD56" s="72" t="str">
        <f t="shared" si="5"/>
        <v/>
      </c>
      <c r="AE56" s="72">
        <f t="shared" si="1"/>
        <v>8</v>
      </c>
    </row>
    <row r="57" spans="2:31" x14ac:dyDescent="0.25">
      <c r="B57" s="36" t="str">
        <f t="shared" si="6"/>
        <v/>
      </c>
      <c r="C57" s="32"/>
      <c r="D57" s="6" t="str">
        <f>IFERROR(HLOOKUP(IFERROR(VLOOKUP(1,Identify,2)&amp;IF(OR($D$7="Broward",$D$7="Miami-Dade",$D$7="Palm Beach"),"SF","")," "),Types,2+COUNTA($D$50:$D56))," ")</f>
        <v xml:space="preserve"> </v>
      </c>
      <c r="E57" s="227" t="str">
        <f>IFERROR(HLOOKUP(IFERROR(VLOOKUP(1,Identify,2)&amp;IF(OR($D$7="Broward",$D$7="Miami-Dade",$D$7="Palm Beach"),"SF","")," "),Base01,2+COUNTA($D$50:$D56))," ")</f>
        <v xml:space="preserve"> </v>
      </c>
      <c r="F57" s="251" t="str">
        <f>IFERROR(E57/IFERROR(HLOOKUP(IFERROR(VLOOKUP(1,Identify,2)," "),SoftCostMultiplier,2+COUNTA(D$50:$D56))," "),"")</f>
        <v/>
      </c>
      <c r="G57" s="228">
        <f t="shared" ref="G57" si="12">IF(($C$36=1),$B$36,0)+IF(($C$37=1),$B$37,0)+IF(($C$38=1),$B$38,0)</f>
        <v>0</v>
      </c>
      <c r="H57" s="229">
        <f t="shared" si="7"/>
        <v>1</v>
      </c>
      <c r="I57" s="229" t="str">
        <f>IFERROR(HLOOKUP(IFERROR(VLOOKUP(1,Identify,2)&amp;IF(OR($D$7="Broward",$D$7="Miami-Dade",$D$7="Palm Beach"),"SF","")," "),EscalationFactor,2+COUNTA($D$50:$D56))," ")</f>
        <v xml:space="preserve"> </v>
      </c>
      <c r="J57" s="227">
        <f t="shared" si="8"/>
        <v>0</v>
      </c>
      <c r="K57" s="227" t="str">
        <f t="shared" si="9"/>
        <v/>
      </c>
      <c r="L57" s="227" t="str">
        <f t="shared" si="10"/>
        <v/>
      </c>
      <c r="AA57" s="73" t="str">
        <f>IF(C$58=0,"",IF(#REF!*C57/C$58&lt;1,"",#REF!*C57/C$58))</f>
        <v/>
      </c>
      <c r="AB57" s="70">
        <f t="shared" si="4"/>
        <v>0</v>
      </c>
      <c r="AC57" s="70">
        <f t="shared" si="11"/>
        <v>1</v>
      </c>
      <c r="AD57" s="72" t="str">
        <f t="shared" si="5"/>
        <v/>
      </c>
      <c r="AE57" s="72">
        <f t="shared" si="1"/>
        <v>8</v>
      </c>
    </row>
    <row r="58" spans="2:31" ht="15.75" thickBot="1" x14ac:dyDescent="0.3">
      <c r="B58" t="s">
        <v>10</v>
      </c>
      <c r="C58" s="30">
        <f>SUM(C51:C57)</f>
        <v>0</v>
      </c>
      <c r="D58" s="128"/>
      <c r="E58" s="131"/>
      <c r="F58" s="131"/>
      <c r="G58" s="127"/>
      <c r="I58" s="128" t="s">
        <v>221</v>
      </c>
      <c r="J58" s="262">
        <f>IF($C58=0,0,SUMPRODUCT($J$51:$J$57,$C$51:$C$57)/$C58)</f>
        <v>0</v>
      </c>
      <c r="K58" s="131" t="str">
        <f>IFERROR((IF($B$51="NC",$C$51*K$51,0)+IF($B$52="NC",$C$52*K$52,0)+IF($B$53="NC",$C$53*K$53,0)+IF($B$54="NC",$C$54*K$54,0)+IF($B$55="NC",$C$55*K$55,0)+IF($B$56="NC",$C$56*K$56,0)+IF($B$57="NC",$C$57*K$57,0))/SUMIF($B$51:$B$57,"=NC",$C$51:$C$57),"")</f>
        <v/>
      </c>
      <c r="L58" s="131" t="str">
        <f>IFERROR((IF($B$51="NC",$C$51*L$51,0)+IF($B$52="NC",$C$52*L$52,0)+IF($B$53="NC",$C$53*L$53,0)+IF($B$54="NC",$C$54*L$54,0)+IF($B$55="NC",$C$55*L$55,0)+IF($B$56="NC",$C$56*L$56,0)+IF($B$57="NC",$C$57*L$57,0))/SUMIF($B$51:$B$57,"=NC",$C$51:$C$57),"")</f>
        <v/>
      </c>
      <c r="M58" t="str">
        <f>IF(AND(SUMIF($B$51:$B$57,"=NC",C51:C57)&gt;0,IFERROR(VALUE(LEFT(VLOOKUP(1,Identify,3),4)),0)&gt;=2026,OR(AND($D$36="Tax-Exempt Bonds Boost",$C$36&gt;0),AND($D$37="Tax-Exempt Bonds Boost",$C$37&gt;0))),"NC Components","")</f>
        <v/>
      </c>
    </row>
    <row r="59" spans="2:31" x14ac:dyDescent="0.25">
      <c r="H59" s="38"/>
      <c r="K59" s="131" t="str">
        <f>IFERROR((IF($B$51="REHAB",$C$51*K$51,0)+IF($B$52="REHAB",$C$52*K$52,0)+IF($B$53="REHAB",$C$53*K$53,0)+IF($B$54="REHAB",$C$54*K$54,0)+IF($B$55="REHAB",$C$55*K$55,0)+IF($B$56="REHAB",$C$56*K$56,0)+IF($B$57="REHAB",$C$57*K$57,0))/SUMIF($B$51:$B$57,"=REHAB",$C$51:$C$57),"")</f>
        <v/>
      </c>
      <c r="L59" s="131" t="str">
        <f>IFERROR((IF($B$51="REHAB",$C$51*L$51,0)+IF($B$52="REHAB",$C$52*L$52,0)+IF($B$53="REHAB",$C$53*L$53,0)+IF($B$54="REHAB",$C$54*L$54,0)+IF($B$55="REHAB",$C$55*L$55,0)+IF($B$56="REHAB",$C$56*L$56,0)+IF($B$57="REHAB",$C$57*L$57,0))/SUMIF($B$51:$B$57,"=REHAB",$C$51:$C$57),"")</f>
        <v/>
      </c>
      <c r="M59" t="str">
        <f>IF(AND(SUMIF($B$51:$B$57,"=REHAB",C51:C57)&gt;0,IFERROR(VALUE(LEFT(VLOOKUP(1,Identify,3),4)),0)&gt;=2026,OR(AND($D$36="Tax-Exempt Bonds Boost",$C$36&gt;0),AND($D$37="Tax-Exempt Bonds Boost",$C$37&gt;0))),"Rehab Components","")</f>
        <v/>
      </c>
      <c r="T59" s="74"/>
      <c r="AA59" s="75" t="s">
        <v>110</v>
      </c>
      <c r="AB59" s="75" t="s">
        <v>112</v>
      </c>
      <c r="AC59" s="75" t="s">
        <v>111</v>
      </c>
      <c r="AD59" s="75" t="s">
        <v>113</v>
      </c>
    </row>
    <row r="60" spans="2:31" ht="15" customHeight="1" x14ac:dyDescent="0.25">
      <c r="E60" s="177"/>
      <c r="F60" s="61"/>
      <c r="J60" s="260"/>
      <c r="K60" s="261"/>
      <c r="L60" s="261"/>
      <c r="M60" s="261"/>
      <c r="Q60" s="38"/>
      <c r="AA60" s="76" t="s">
        <v>93</v>
      </c>
      <c r="AB60" s="76" t="s">
        <v>94</v>
      </c>
      <c r="AC60" s="76" t="s">
        <v>210</v>
      </c>
      <c r="AD60" s="76" t="s">
        <v>95</v>
      </c>
    </row>
    <row r="61" spans="2:31" x14ac:dyDescent="0.25">
      <c r="F61" s="247"/>
      <c r="H61" s="29"/>
      <c r="AA61" s="77">
        <f t="shared" ref="AA61" si="13">IF(OR($C$36=1,$W$36=1),$B$36,0)+IF(OR($C$37=1,$W$37=1),$B$37,0)+IF(OR($C$38=1,$W$38=1),$B$38,0)</f>
        <v>0</v>
      </c>
      <c r="AB61" s="78">
        <f t="shared" ref="AB61" si="14">IF(OR($C$41=1,$W$41=1),$B$41,1)*IF(OR($C$42=1,$W$42=1),$B$42,1)*IF(OR($C$43=1,$W$43=1),$B$43,1)*IF(OR($C$44=1,$W$44=1),$B$44,1)*IF(OR($C$45=1,$W$45=1),$B$45,1)*IF(OR($C$46=1,$W$46=1),$B$46,1)</f>
        <v>1</v>
      </c>
      <c r="AC61" s="78" t="str">
        <f>IFERROR(HLOOKUP((VLOOKUP(1,Identify,2)&amp;IF(OR($D$7="Broward","Miami-Dade","Palm Beach"),"SF","")),EscalationFactor,1+COUNTA(B$49:B49))," ")</f>
        <v xml:space="preserve"> </v>
      </c>
      <c r="AD61" s="77">
        <f t="shared" ref="AD61" si="15">ROUND((N(E51)+N(AA61))/IF(N(AB61)=0,1,N(AB61))*(1+N(AC61)),2)</f>
        <v>0</v>
      </c>
    </row>
  </sheetData>
  <sheetProtection algorithmName="SHA-512" hashValue="mmR9FJbG/u0kg/Mqsl8BI3v12bivxhSSxdtveb7PIaYf60Mq5TALtZTHhG627T6xepieSSkMdICpgnV7/6SoBQ==" saltValue="NqgJYiLQ7CYwYLdR7OgfDA==" spinCount="100000" sheet="1" objects="1" scenarios="1"/>
  <mergeCells count="44">
    <mergeCell ref="H31:T31"/>
    <mergeCell ref="H32:T32"/>
    <mergeCell ref="H25:T25"/>
    <mergeCell ref="H26:T26"/>
    <mergeCell ref="H27:T27"/>
    <mergeCell ref="H28:T28"/>
    <mergeCell ref="H29:T29"/>
    <mergeCell ref="D5:E5"/>
    <mergeCell ref="D6:E6"/>
    <mergeCell ref="D9:E9"/>
    <mergeCell ref="B49:D50"/>
    <mergeCell ref="F16:G16"/>
    <mergeCell ref="F24:G24"/>
    <mergeCell ref="F17:G17"/>
    <mergeCell ref="F20:G20"/>
    <mergeCell ref="F28:G28"/>
    <mergeCell ref="F31:G31"/>
    <mergeCell ref="F32:G32"/>
    <mergeCell ref="C33:D33"/>
    <mergeCell ref="F26:G26"/>
    <mergeCell ref="F25:G25"/>
    <mergeCell ref="F27:G27"/>
    <mergeCell ref="F29:G29"/>
    <mergeCell ref="H16:T16"/>
    <mergeCell ref="D7:E7"/>
    <mergeCell ref="F14:G14"/>
    <mergeCell ref="H14:T14"/>
    <mergeCell ref="F15:G15"/>
    <mergeCell ref="H15:T15"/>
    <mergeCell ref="F30:G30"/>
    <mergeCell ref="H30:T30"/>
    <mergeCell ref="H17:T17"/>
    <mergeCell ref="F18:G18"/>
    <mergeCell ref="H18:T18"/>
    <mergeCell ref="F19:G19"/>
    <mergeCell ref="H19:T19"/>
    <mergeCell ref="H24:T24"/>
    <mergeCell ref="H20:T20"/>
    <mergeCell ref="F21:G21"/>
    <mergeCell ref="H21:T21"/>
    <mergeCell ref="F22:G22"/>
    <mergeCell ref="H22:T22"/>
    <mergeCell ref="F23:G23"/>
    <mergeCell ref="H23:T23"/>
  </mergeCells>
  <conditionalFormatting sqref="B51:B56">
    <cfRule type="expression" dxfId="67" priority="199">
      <formula>AND(#REF!&lt;&gt;#REF!,B51="NC")</formula>
    </cfRule>
  </conditionalFormatting>
  <conditionalFormatting sqref="B51:B57">
    <cfRule type="cellIs" dxfId="66" priority="54" operator="notEqual">
      <formula>""</formula>
    </cfRule>
  </conditionalFormatting>
  <conditionalFormatting sqref="B57">
    <cfRule type="expression" dxfId="65" priority="200">
      <formula>AND(#REF!&lt;&gt;#REF!,B57="Rehab")</formula>
    </cfRule>
  </conditionalFormatting>
  <conditionalFormatting sqref="B41:E42">
    <cfRule type="expression" dxfId="64" priority="50" stopIfTrue="1">
      <formula>AND($C$41+$C$42&gt;1,LEFT($D$42,7)&lt;&gt;"Florida")</formula>
    </cfRule>
  </conditionalFormatting>
  <conditionalFormatting sqref="B41:E47 B36:E38">
    <cfRule type="expression" dxfId="63" priority="385">
      <formula>$C36=1</formula>
    </cfRule>
  </conditionalFormatting>
  <conditionalFormatting sqref="B42:E42 B44:E44">
    <cfRule type="expression" dxfId="62" priority="63">
      <formula>AND(LEFT($D$41,3)="PDC",LEFT($D$43,6)="9%, NC",$C$42=1,$C$44=1)</formula>
    </cfRule>
  </conditionalFormatting>
  <conditionalFormatting sqref="B42:E43">
    <cfRule type="expression" dxfId="61" priority="62">
      <formula>AND(LEFT($D$41,3)="PDC",LEFT($D$43,6)="9%, NC",$C$42=1,$C$43=1)</formula>
    </cfRule>
  </conditionalFormatting>
  <conditionalFormatting sqref="B43:E44">
    <cfRule type="expression" dxfId="60" priority="65">
      <formula>$C$43+$C$44&gt;1</formula>
    </cfRule>
  </conditionalFormatting>
  <conditionalFormatting sqref="B45:E46">
    <cfRule type="expression" dxfId="59" priority="79">
      <formula>$C$45+$C$46&gt;1</formula>
    </cfRule>
  </conditionalFormatting>
  <conditionalFormatting sqref="C33">
    <cfRule type="cellIs" dxfId="58" priority="25" operator="equal">
      <formula>"STOP: This TDC Template does NOT Apply to this RFA."</formula>
    </cfRule>
  </conditionalFormatting>
  <conditionalFormatting sqref="C51">
    <cfRule type="expression" dxfId="57" priority="56">
      <formula>OR($D51="No TDC Limitation in this RFA",$D51="Please select the initial RFA",$D51="RFA was not Issued" )</formula>
    </cfRule>
  </conditionalFormatting>
  <conditionalFormatting sqref="C58">
    <cfRule type="expression" dxfId="56" priority="87">
      <formula>$C$58&lt;&gt;#REF!</formula>
    </cfRule>
  </conditionalFormatting>
  <conditionalFormatting sqref="C59:E59">
    <cfRule type="expression" dxfId="55" priority="58">
      <formula>$C$59&lt;&gt;""</formula>
    </cfRule>
  </conditionalFormatting>
  <conditionalFormatting sqref="C15:H32 B36:E38 B41:E47">
    <cfRule type="expression" dxfId="54" priority="49">
      <formula>$D15=" "</formula>
    </cfRule>
  </conditionalFormatting>
  <conditionalFormatting sqref="C51:J57">
    <cfRule type="expression" dxfId="53" priority="70">
      <formula>$C51&gt;0</formula>
    </cfRule>
    <cfRule type="expression" dxfId="52" priority="20">
      <formula>$D51=" "</formula>
    </cfRule>
  </conditionalFormatting>
  <conditionalFormatting sqref="C15:T32 E33">
    <cfRule type="expression" dxfId="51" priority="84" stopIfTrue="1">
      <formula>AND($C15=1,SUM($C$15:$C$32)&gt;1)</formula>
    </cfRule>
    <cfRule type="expression" dxfId="50" priority="85" stopIfTrue="1">
      <formula>$C15=1</formula>
    </cfRule>
    <cfRule type="expression" dxfId="49" priority="27">
      <formula>AND($C15=1,ISNUMBER(SEARCH("This TDC Template",$D15)))</formula>
    </cfRule>
  </conditionalFormatting>
  <conditionalFormatting sqref="D51:D57">
    <cfRule type="expression" dxfId="48" priority="21">
      <formula>OR($D51="No TDC Limitation in this RFA",$D51="Please select the initial RFA",$D51="RFA was not Issued")</formula>
    </cfRule>
  </conditionalFormatting>
  <conditionalFormatting sqref="E51:J51 F51:F57">
    <cfRule type="expression" dxfId="47" priority="14">
      <formula>OR($D51="No TDC Limitation in this RFA",$D51="Please select the initial RFA",$D51="RFA was not Issued")</formula>
    </cfRule>
  </conditionalFormatting>
  <conditionalFormatting sqref="F58">
    <cfRule type="expression" dxfId="46" priority="16">
      <formula>$D58=" "</formula>
    </cfRule>
  </conditionalFormatting>
  <conditionalFormatting sqref="F7:G7">
    <cfRule type="expression" dxfId="45" priority="59">
      <formula>$F$7&lt;&gt;""</formula>
    </cfRule>
  </conditionalFormatting>
  <conditionalFormatting sqref="G46:G48">
    <cfRule type="expression" dxfId="44" priority="380">
      <formula>COUNT($C$51:$C$57)&lt;2</formula>
    </cfRule>
  </conditionalFormatting>
  <conditionalFormatting sqref="J58">
    <cfRule type="expression" dxfId="43" priority="15">
      <formula>$D58=" "</formula>
    </cfRule>
  </conditionalFormatting>
  <conditionalFormatting sqref="K50:L50">
    <cfRule type="expression" dxfId="42" priority="1">
      <formula>AND($C$58&gt;0,IFERROR(VALUE(LEFT(VLOOKUP(1,Identify,3),4)),0)&gt;=2026,OR(AND($D$36="Tax-Exempt Bonds Boost",$C$36&gt;0),AND($D$37="Tax-Exempt Bonds Boost",$C$37&gt;0)))=FALSE</formula>
    </cfRule>
  </conditionalFormatting>
  <conditionalFormatting sqref="K51:L57">
    <cfRule type="expression" dxfId="41" priority="4">
      <formula>$C51&gt;0</formula>
    </cfRule>
  </conditionalFormatting>
  <conditionalFormatting sqref="K51:L59">
    <cfRule type="expression" dxfId="40" priority="2" stopIfTrue="1">
      <formula>AND($C$58&gt;0,IFERROR(VALUE(LEFT(VLOOKUP(1,Identify,3),4)),0)&gt;=2026,OR(AND($D$36="Tax-Exempt Bonds Boost",$C$36&gt;0),AND($D$37="Tax-Exempt Bonds Boost",$C$37&gt;0)))=FALSE</formula>
    </cfRule>
  </conditionalFormatting>
  <conditionalFormatting sqref="W36:W38 W41:W46">
    <cfRule type="expression" dxfId="39" priority="383">
      <formula>$W36=""</formula>
    </cfRule>
    <cfRule type="expression" dxfId="38" priority="384">
      <formula>$W36=1</formula>
    </cfRule>
  </conditionalFormatting>
  <conditionalFormatting sqref="AA49:AA57">
    <cfRule type="expression" dxfId="37" priority="48">
      <formula>COUNT($C$51:$C$57)&lt;2</formula>
    </cfRule>
  </conditionalFormatting>
  <conditionalFormatting sqref="AA61:AD61">
    <cfRule type="expression" dxfId="36" priority="41">
      <formula>$C51&gt;0</formula>
    </cfRule>
    <cfRule type="expression" dxfId="35" priority="40">
      <formula>OR($D51="No TDC Limitation in this RFA",$D51="Please select the initial RFA",$D51="Please select the initial RFA and cell H7",$D51="RFA was not Issued")</formula>
    </cfRule>
    <cfRule type="expression" dxfId="34" priority="382">
      <formula>$D51=" "</formula>
    </cfRule>
  </conditionalFormatting>
  <dataValidations count="1">
    <dataValidation type="list" allowBlank="1" showInputMessage="1" showErrorMessage="1" sqref="D7:E7" xr:uid="{74CBF7E2-8D41-4FE2-A967-75F3A2ADB027}">
      <formula1>Counties</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66E850E-35E7-4B7A-86E6-D66B3C050BF8}">
          <x14:formula1>
            <xm:f>Data!$A$3:$A$8</xm:f>
          </x14:formula1>
          <xm:sqref>D9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A8F18-D486-4422-B75A-504B107F1207}">
  <sheetPr codeName="Sheet5"/>
  <dimension ref="A1:EO139"/>
  <sheetViews>
    <sheetView topLeftCell="DM1" zoomScale="70" zoomScaleNormal="70" workbookViewId="0">
      <selection activeCell="DV31" sqref="DV31"/>
    </sheetView>
  </sheetViews>
  <sheetFormatPr defaultRowHeight="15" outlineLevelCol="1" x14ac:dyDescent="0.25"/>
  <cols>
    <col min="1" max="1" width="18.28515625" bestFit="1" customWidth="1"/>
    <col min="3" max="3" width="17.28515625" customWidth="1"/>
    <col min="4" max="4" width="16.42578125" customWidth="1"/>
    <col min="5" max="9" width="14.7109375" customWidth="1"/>
    <col min="10" max="10" width="16.28515625" customWidth="1"/>
    <col min="11" max="11" width="16.7109375" customWidth="1"/>
    <col min="12" max="12" width="18.140625" customWidth="1"/>
    <col min="13" max="13" width="19.140625" customWidth="1"/>
    <col min="14" max="14" width="15.85546875" customWidth="1"/>
    <col min="15" max="15" width="3.7109375" customWidth="1"/>
    <col min="16" max="17" width="17.85546875" hidden="1" customWidth="1" outlineLevel="1"/>
    <col min="18" max="21" width="20.42578125" hidden="1" customWidth="1" outlineLevel="1"/>
    <col min="22" max="22" width="19.140625" hidden="1" customWidth="1" outlineLevel="1"/>
    <col min="23" max="24" width="20.42578125" hidden="1" customWidth="1" outlineLevel="1"/>
    <col min="25" max="25" width="19.140625" hidden="1" customWidth="1" outlineLevel="1"/>
    <col min="26" max="26" width="19.140625" customWidth="1" collapsed="1"/>
    <col min="27" max="27" width="19.140625" customWidth="1"/>
    <col min="28" max="28" width="21.140625" customWidth="1"/>
    <col min="29" max="29" width="22.85546875" customWidth="1"/>
    <col min="30" max="30" width="20.42578125" customWidth="1"/>
    <col min="31" max="31" width="20.42578125" customWidth="1" collapsed="1"/>
    <col min="32" max="32" width="19.140625" customWidth="1"/>
    <col min="33" max="33" width="21" customWidth="1"/>
    <col min="34" max="34" width="19.140625" hidden="1" customWidth="1" outlineLevel="1"/>
    <col min="35" max="35" width="19.140625" customWidth="1" collapsed="1"/>
    <col min="36" max="36" width="20.42578125" customWidth="1"/>
    <col min="37" max="37" width="20.42578125" customWidth="1" collapsed="1"/>
    <col min="38" max="38" width="19.140625" hidden="1" customWidth="1" outlineLevel="1"/>
    <col min="39" max="39" width="17.85546875" customWidth="1" collapsed="1"/>
    <col min="40" max="40" width="22.5703125" customWidth="1"/>
    <col min="41" max="44" width="20.42578125" customWidth="1"/>
    <col min="45" max="45" width="19.140625" customWidth="1"/>
    <col min="46" max="105" width="20.42578125" customWidth="1"/>
    <col min="106" max="106" width="19.140625" customWidth="1"/>
    <col min="107" max="115" width="20.42578125" customWidth="1"/>
    <col min="116" max="116" width="22" customWidth="1"/>
    <col min="117" max="130" width="20.42578125" customWidth="1"/>
    <col min="137" max="137" width="121.5703125" customWidth="1"/>
    <col min="138" max="138" width="15.5703125" customWidth="1"/>
    <col min="139" max="139" width="14.5703125" customWidth="1"/>
    <col min="140" max="140" width="15.28515625" bestFit="1" customWidth="1"/>
    <col min="141" max="141" width="14" bestFit="1" customWidth="1"/>
    <col min="142" max="142" width="15" customWidth="1"/>
    <col min="143" max="143" width="15.85546875" customWidth="1"/>
    <col min="144" max="144" width="13.85546875" customWidth="1"/>
    <col min="145" max="145" width="14.7109375" customWidth="1"/>
  </cols>
  <sheetData>
    <row r="1" spans="1:145" x14ac:dyDescent="0.25">
      <c r="L1" s="40" t="s">
        <v>309</v>
      </c>
      <c r="AF1" s="40" t="s">
        <v>269</v>
      </c>
      <c r="DU1" s="320" t="s">
        <v>456</v>
      </c>
      <c r="DV1" s="320" t="s">
        <v>465</v>
      </c>
    </row>
    <row r="2" spans="1:145" x14ac:dyDescent="0.25">
      <c r="C2" s="328" t="s">
        <v>96</v>
      </c>
      <c r="D2" s="329"/>
      <c r="E2" s="329"/>
      <c r="F2" s="329"/>
      <c r="G2" s="329"/>
      <c r="H2" s="329"/>
      <c r="I2" s="329"/>
      <c r="J2" s="329"/>
      <c r="K2" s="329"/>
      <c r="L2" s="329"/>
      <c r="M2" s="330"/>
      <c r="Z2" t="s">
        <v>211</v>
      </c>
      <c r="AF2" s="40"/>
      <c r="AH2" s="40"/>
      <c r="AI2" s="40"/>
      <c r="AQ2" s="40" t="s">
        <v>320</v>
      </c>
      <c r="AR2" s="40" t="s">
        <v>320</v>
      </c>
      <c r="AS2" s="40"/>
      <c r="AV2" s="40"/>
      <c r="AW2" s="40"/>
      <c r="AX2" s="40"/>
      <c r="AY2" s="40"/>
      <c r="AZ2" s="40"/>
      <c r="BA2" s="40"/>
      <c r="BB2" s="40"/>
      <c r="BC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233" t="s">
        <v>453</v>
      </c>
      <c r="DL2" s="233" t="s">
        <v>453</v>
      </c>
      <c r="DM2" s="40"/>
      <c r="DN2" s="40"/>
      <c r="DO2" s="40"/>
      <c r="DP2" s="40"/>
      <c r="DQ2" s="233" t="s">
        <v>454</v>
      </c>
      <c r="DR2" s="233" t="s">
        <v>454</v>
      </c>
      <c r="DS2" s="233" t="s">
        <v>455</v>
      </c>
      <c r="DT2" s="233" t="s">
        <v>455</v>
      </c>
      <c r="DU2" s="233"/>
      <c r="DV2" s="233"/>
      <c r="DW2" s="233" t="s">
        <v>463</v>
      </c>
      <c r="DX2" s="233" t="s">
        <v>463</v>
      </c>
      <c r="DY2" s="233" t="s">
        <v>464</v>
      </c>
      <c r="DZ2" s="233" t="s">
        <v>464</v>
      </c>
      <c r="EB2" s="40"/>
      <c r="EC2" s="40"/>
      <c r="ED2" s="40"/>
    </row>
    <row r="3" spans="1:145" ht="20.25" customHeight="1" x14ac:dyDescent="0.25">
      <c r="A3" s="24" t="s">
        <v>1</v>
      </c>
      <c r="B3" t="s">
        <v>2</v>
      </c>
      <c r="C3" s="47" t="s">
        <v>2</v>
      </c>
      <c r="D3" s="48" t="s">
        <v>2</v>
      </c>
      <c r="E3" s="48" t="s">
        <v>2</v>
      </c>
      <c r="F3" s="48" t="s">
        <v>2</v>
      </c>
      <c r="G3" s="48" t="s">
        <v>2</v>
      </c>
      <c r="H3" s="48" t="s">
        <v>2</v>
      </c>
      <c r="I3" s="58" t="s">
        <v>459</v>
      </c>
      <c r="J3" s="217" t="s">
        <v>388</v>
      </c>
      <c r="K3" s="217" t="s">
        <v>345</v>
      </c>
      <c r="L3" s="217" t="s">
        <v>182</v>
      </c>
      <c r="M3" s="218" t="s">
        <v>191</v>
      </c>
      <c r="O3" s="334" t="s">
        <v>89</v>
      </c>
      <c r="P3" s="28" t="s">
        <v>147</v>
      </c>
      <c r="Q3" s="28" t="s">
        <v>148</v>
      </c>
      <c r="R3" s="28" t="s">
        <v>149</v>
      </c>
      <c r="S3" s="28" t="s">
        <v>158</v>
      </c>
      <c r="T3" s="28" t="s">
        <v>150</v>
      </c>
      <c r="U3" s="28" t="s">
        <v>157</v>
      </c>
      <c r="V3" s="28" t="s">
        <v>151</v>
      </c>
      <c r="W3" s="28" t="s">
        <v>152</v>
      </c>
      <c r="X3" s="28" t="s">
        <v>159</v>
      </c>
      <c r="Y3" s="28" t="s">
        <v>166</v>
      </c>
      <c r="Z3" s="167" t="s">
        <v>153</v>
      </c>
      <c r="AA3" s="167" t="s">
        <v>154</v>
      </c>
      <c r="AB3" s="167" t="s">
        <v>160</v>
      </c>
      <c r="AC3" s="167" t="s">
        <v>305</v>
      </c>
      <c r="AD3" s="167" t="s">
        <v>267</v>
      </c>
      <c r="AE3" s="167" t="s">
        <v>268</v>
      </c>
      <c r="AF3" s="167" t="s">
        <v>156</v>
      </c>
      <c r="AG3" s="167" t="s">
        <v>161</v>
      </c>
      <c r="AH3" s="214" t="s">
        <v>172</v>
      </c>
      <c r="AI3" s="167" t="s">
        <v>262</v>
      </c>
      <c r="AJ3" s="167" t="s">
        <v>263</v>
      </c>
      <c r="AK3" s="167" t="s">
        <v>274</v>
      </c>
      <c r="AL3" s="214" t="s">
        <v>168</v>
      </c>
      <c r="AM3" s="167" t="s">
        <v>182</v>
      </c>
      <c r="AN3" s="167" t="s">
        <v>187</v>
      </c>
      <c r="AO3" s="167" t="s">
        <v>183</v>
      </c>
      <c r="AP3" s="167" t="s">
        <v>188</v>
      </c>
      <c r="AQ3" s="167" t="s">
        <v>184</v>
      </c>
      <c r="AR3" s="167" t="s">
        <v>189</v>
      </c>
      <c r="AS3" s="167" t="s">
        <v>185</v>
      </c>
      <c r="AT3" s="167" t="s">
        <v>186</v>
      </c>
      <c r="AU3" s="167" t="s">
        <v>190</v>
      </c>
      <c r="AV3" s="167" t="s">
        <v>322</v>
      </c>
      <c r="AW3" s="167" t="s">
        <v>323</v>
      </c>
      <c r="AX3" s="167" t="s">
        <v>327</v>
      </c>
      <c r="AY3" s="167" t="s">
        <v>324</v>
      </c>
      <c r="AZ3" s="167" t="s">
        <v>325</v>
      </c>
      <c r="BA3" s="167" t="s">
        <v>328</v>
      </c>
      <c r="BB3" s="167" t="s">
        <v>326</v>
      </c>
      <c r="BC3" s="167" t="s">
        <v>329</v>
      </c>
      <c r="BD3" s="167" t="s">
        <v>307</v>
      </c>
      <c r="BE3" s="167" t="s">
        <v>330</v>
      </c>
      <c r="BF3" s="167" t="s">
        <v>343</v>
      </c>
      <c r="BG3" s="167" t="s">
        <v>344</v>
      </c>
      <c r="BH3" s="167" t="s">
        <v>308</v>
      </c>
      <c r="BI3" s="167" t="s">
        <v>331</v>
      </c>
      <c r="BJ3" s="167" t="s">
        <v>310</v>
      </c>
      <c r="BK3" s="167" t="s">
        <v>332</v>
      </c>
      <c r="BL3" s="167" t="s">
        <v>311</v>
      </c>
      <c r="BM3" s="167" t="s">
        <v>333</v>
      </c>
      <c r="BN3" s="167" t="s">
        <v>312</v>
      </c>
      <c r="BO3" s="167" t="s">
        <v>334</v>
      </c>
      <c r="BP3" s="167" t="s">
        <v>321</v>
      </c>
      <c r="BQ3" s="167" t="s">
        <v>335</v>
      </c>
      <c r="BR3" s="167" t="s">
        <v>345</v>
      </c>
      <c r="BS3" s="167" t="s">
        <v>346</v>
      </c>
      <c r="BT3" s="167" t="s">
        <v>347</v>
      </c>
      <c r="BU3" s="167" t="s">
        <v>348</v>
      </c>
      <c r="BV3" s="167" t="s">
        <v>358</v>
      </c>
      <c r="BW3" s="167" t="s">
        <v>360</v>
      </c>
      <c r="BX3" s="167" t="s">
        <v>349</v>
      </c>
      <c r="BY3" s="167" t="s">
        <v>350</v>
      </c>
      <c r="BZ3" s="167" t="s">
        <v>363</v>
      </c>
      <c r="CA3" s="167" t="s">
        <v>366</v>
      </c>
      <c r="CB3" s="167" t="s">
        <v>367</v>
      </c>
      <c r="CC3" s="167" t="s">
        <v>368</v>
      </c>
      <c r="CD3" s="167" t="s">
        <v>369</v>
      </c>
      <c r="CE3" s="167" t="s">
        <v>370</v>
      </c>
      <c r="CF3" s="167" t="s">
        <v>371</v>
      </c>
      <c r="CG3" s="167" t="s">
        <v>372</v>
      </c>
      <c r="CH3" s="167" t="s">
        <v>373</v>
      </c>
      <c r="CI3" s="167" t="s">
        <v>374</v>
      </c>
      <c r="CJ3" s="167" t="s">
        <v>355</v>
      </c>
      <c r="CK3" s="167" t="s">
        <v>356</v>
      </c>
      <c r="CL3" s="167" t="s">
        <v>385</v>
      </c>
      <c r="CM3" s="167" t="s">
        <v>387</v>
      </c>
      <c r="CN3" s="167" t="s">
        <v>375</v>
      </c>
      <c r="CO3" s="167" t="s">
        <v>376</v>
      </c>
      <c r="CP3" s="167" t="s">
        <v>377</v>
      </c>
      <c r="CQ3" s="167" t="s">
        <v>378</v>
      </c>
      <c r="CR3" s="167" t="s">
        <v>379</v>
      </c>
      <c r="CS3" s="167" t="s">
        <v>380</v>
      </c>
      <c r="CT3" s="167" t="s">
        <v>359</v>
      </c>
      <c r="CU3" s="167" t="s">
        <v>361</v>
      </c>
      <c r="CV3" s="167" t="s">
        <v>388</v>
      </c>
      <c r="CW3" s="167" t="s">
        <v>389</v>
      </c>
      <c r="CX3" s="167" t="s">
        <v>390</v>
      </c>
      <c r="CY3" s="167" t="s">
        <v>391</v>
      </c>
      <c r="CZ3" s="167" t="s">
        <v>397</v>
      </c>
      <c r="DA3" s="167" t="s">
        <v>398</v>
      </c>
      <c r="DB3" s="167" t="s">
        <v>392</v>
      </c>
      <c r="DC3" s="167" t="s">
        <v>393</v>
      </c>
      <c r="DD3" s="167" t="s">
        <v>394</v>
      </c>
      <c r="DE3" s="167" t="s">
        <v>457</v>
      </c>
      <c r="DF3" s="167" t="s">
        <v>458</v>
      </c>
      <c r="DG3" s="167" t="s">
        <v>414</v>
      </c>
      <c r="DH3" s="167" t="s">
        <v>415</v>
      </c>
      <c r="DI3" s="167" t="s">
        <v>416</v>
      </c>
      <c r="DJ3" s="167" t="s">
        <v>417</v>
      </c>
      <c r="DK3" s="167" t="s">
        <v>437</v>
      </c>
      <c r="DL3" s="167" t="s">
        <v>440</v>
      </c>
      <c r="DM3" s="167" t="s">
        <v>422</v>
      </c>
      <c r="DN3" s="167" t="s">
        <v>423</v>
      </c>
      <c r="DO3" s="167" t="s">
        <v>401</v>
      </c>
      <c r="DP3" s="167" t="s">
        <v>403</v>
      </c>
      <c r="DQ3" s="167" t="s">
        <v>434</v>
      </c>
      <c r="DR3" s="167" t="s">
        <v>435</v>
      </c>
      <c r="DS3" s="167" t="s">
        <v>438</v>
      </c>
      <c r="DT3" s="167" t="s">
        <v>441</v>
      </c>
      <c r="DU3" s="167" t="s">
        <v>436</v>
      </c>
      <c r="DV3" s="167" t="s">
        <v>442</v>
      </c>
      <c r="DW3" s="167" t="s">
        <v>459</v>
      </c>
      <c r="DX3" s="167" t="s">
        <v>460</v>
      </c>
      <c r="DY3" s="167" t="s">
        <v>461</v>
      </c>
      <c r="DZ3" s="167" t="s">
        <v>462</v>
      </c>
    </row>
    <row r="4" spans="1:145" ht="14.25" customHeight="1" x14ac:dyDescent="0.25">
      <c r="A4" s="56">
        <v>2023</v>
      </c>
      <c r="B4" t="s">
        <v>2</v>
      </c>
      <c r="C4" s="19" t="s">
        <v>2</v>
      </c>
      <c r="D4" s="20" t="s">
        <v>2</v>
      </c>
      <c r="E4" s="20" t="s">
        <v>2</v>
      </c>
      <c r="F4" s="20" t="s">
        <v>2</v>
      </c>
      <c r="G4" s="20" t="s">
        <v>2</v>
      </c>
      <c r="H4" s="20" t="s">
        <v>2</v>
      </c>
      <c r="I4" s="58" t="s">
        <v>461</v>
      </c>
      <c r="J4" s="58" t="s">
        <v>390</v>
      </c>
      <c r="K4" s="58" t="s">
        <v>347</v>
      </c>
      <c r="L4" s="58" t="s">
        <v>183</v>
      </c>
      <c r="M4" s="219" t="s">
        <v>192</v>
      </c>
      <c r="O4" s="335"/>
      <c r="P4" s="14" t="s">
        <v>2</v>
      </c>
      <c r="Q4" s="14" t="s">
        <v>2</v>
      </c>
      <c r="R4" s="14" t="s">
        <v>2</v>
      </c>
      <c r="S4" s="14" t="s">
        <v>2</v>
      </c>
      <c r="T4" s="14" t="s">
        <v>2</v>
      </c>
      <c r="U4" s="14" t="s">
        <v>2</v>
      </c>
      <c r="V4" s="14" t="s">
        <v>2</v>
      </c>
      <c r="W4" s="14" t="s">
        <v>2</v>
      </c>
      <c r="X4" s="14" t="s">
        <v>2</v>
      </c>
      <c r="Y4" s="14" t="s">
        <v>2</v>
      </c>
      <c r="Z4" t="s">
        <v>200</v>
      </c>
      <c r="AA4" t="s">
        <v>200</v>
      </c>
      <c r="AB4" t="s">
        <v>200</v>
      </c>
      <c r="AC4" t="s">
        <v>200</v>
      </c>
      <c r="AD4" t="s">
        <v>200</v>
      </c>
      <c r="AE4" t="s">
        <v>200</v>
      </c>
      <c r="AF4" t="s">
        <v>200</v>
      </c>
      <c r="AG4" t="s">
        <v>200</v>
      </c>
      <c r="AH4" s="14" t="s">
        <v>2</v>
      </c>
      <c r="AI4" t="s">
        <v>200</v>
      </c>
      <c r="AJ4" t="s">
        <v>200</v>
      </c>
      <c r="AK4" t="s">
        <v>200</v>
      </c>
      <c r="AL4" s="14" t="s">
        <v>2</v>
      </c>
      <c r="AM4" t="s">
        <v>200</v>
      </c>
      <c r="AN4" t="s">
        <v>200</v>
      </c>
      <c r="AO4" t="s">
        <v>200</v>
      </c>
      <c r="AP4" t="s">
        <v>200</v>
      </c>
      <c r="AQ4" t="s">
        <v>200</v>
      </c>
      <c r="AR4" t="s">
        <v>200</v>
      </c>
      <c r="AS4" s="14" t="s">
        <v>2</v>
      </c>
      <c r="AT4" t="s">
        <v>200</v>
      </c>
      <c r="AU4" t="s">
        <v>200</v>
      </c>
      <c r="AV4" s="14" t="s">
        <v>2</v>
      </c>
      <c r="AW4" s="14" t="s">
        <v>2</v>
      </c>
      <c r="AX4" s="14" t="s">
        <v>2</v>
      </c>
      <c r="AY4" s="14" t="s">
        <v>2</v>
      </c>
      <c r="AZ4" t="s">
        <v>3</v>
      </c>
      <c r="BA4" t="s">
        <v>3</v>
      </c>
      <c r="BB4" t="s">
        <v>3</v>
      </c>
      <c r="BC4" t="s">
        <v>3</v>
      </c>
      <c r="BD4" t="s">
        <v>200</v>
      </c>
      <c r="BE4" t="s">
        <v>200</v>
      </c>
      <c r="BF4" t="s">
        <v>3</v>
      </c>
      <c r="BG4" t="s">
        <v>3</v>
      </c>
      <c r="BH4" t="s">
        <v>200</v>
      </c>
      <c r="BI4" t="s">
        <v>200</v>
      </c>
      <c r="BJ4" t="s">
        <v>3</v>
      </c>
      <c r="BK4" t="s">
        <v>3</v>
      </c>
      <c r="BL4" t="s">
        <v>3</v>
      </c>
      <c r="BM4" t="s">
        <v>3</v>
      </c>
      <c r="BN4" t="s">
        <v>339</v>
      </c>
      <c r="BO4" t="s">
        <v>339</v>
      </c>
      <c r="BP4" t="s">
        <v>3</v>
      </c>
      <c r="BQ4" t="s">
        <v>3</v>
      </c>
      <c r="BR4" s="14" t="s">
        <v>2</v>
      </c>
      <c r="BS4" s="14" t="s">
        <v>2</v>
      </c>
      <c r="BT4" s="14" t="s">
        <v>2</v>
      </c>
      <c r="BU4" s="14" t="s">
        <v>2</v>
      </c>
      <c r="BV4" s="14" t="s">
        <v>2</v>
      </c>
      <c r="BW4" s="14" t="s">
        <v>2</v>
      </c>
      <c r="BX4" s="14" t="s">
        <v>2</v>
      </c>
      <c r="BY4" s="14" t="s">
        <v>2</v>
      </c>
      <c r="BZ4" s="14" t="s">
        <v>2</v>
      </c>
      <c r="CA4" s="14" t="s">
        <v>2</v>
      </c>
      <c r="CB4" s="14" t="s">
        <v>2</v>
      </c>
      <c r="CC4" s="14" t="s">
        <v>2</v>
      </c>
      <c r="CD4" s="14" t="s">
        <v>2</v>
      </c>
      <c r="CE4" s="14" t="s">
        <v>2</v>
      </c>
      <c r="CF4" t="s">
        <v>3</v>
      </c>
      <c r="CG4" t="s">
        <v>3</v>
      </c>
      <c r="CH4" t="s">
        <v>3</v>
      </c>
      <c r="CI4" t="s">
        <v>3</v>
      </c>
      <c r="CJ4" s="14" t="s">
        <v>2</v>
      </c>
      <c r="CK4" s="14" t="s">
        <v>2</v>
      </c>
      <c r="CL4" s="14" t="s">
        <v>2</v>
      </c>
      <c r="CM4" s="14" t="s">
        <v>2</v>
      </c>
      <c r="CN4" t="s">
        <v>3</v>
      </c>
      <c r="CO4" t="s">
        <v>3</v>
      </c>
      <c r="CP4" t="s">
        <v>3</v>
      </c>
      <c r="CQ4" t="s">
        <v>3</v>
      </c>
      <c r="CR4" t="s">
        <v>3</v>
      </c>
      <c r="CS4" t="s">
        <v>3</v>
      </c>
      <c r="CT4" t="s">
        <v>3</v>
      </c>
      <c r="CU4" t="s">
        <v>3</v>
      </c>
      <c r="CV4" s="14" t="s">
        <v>2</v>
      </c>
      <c r="CW4" s="14" t="s">
        <v>2</v>
      </c>
      <c r="CX4" s="14" t="s">
        <v>2</v>
      </c>
      <c r="CY4" s="14" t="s">
        <v>2</v>
      </c>
      <c r="CZ4" s="14" t="s">
        <v>2</v>
      </c>
      <c r="DA4" s="14" t="s">
        <v>2</v>
      </c>
      <c r="DB4" s="14" t="s">
        <v>2</v>
      </c>
      <c r="DC4" s="14" t="s">
        <v>2</v>
      </c>
      <c r="DD4" s="14" t="s">
        <v>2</v>
      </c>
      <c r="DE4" s="14" t="s">
        <v>2</v>
      </c>
      <c r="DF4" s="14" t="s">
        <v>2</v>
      </c>
      <c r="DG4" s="14" t="s">
        <v>2</v>
      </c>
      <c r="DH4" s="14" t="s">
        <v>2</v>
      </c>
      <c r="DI4" s="14" t="s">
        <v>2</v>
      </c>
      <c r="DJ4" s="14" t="s">
        <v>2</v>
      </c>
      <c r="DK4" t="s">
        <v>3</v>
      </c>
      <c r="DL4" t="s">
        <v>3</v>
      </c>
      <c r="DM4" t="s">
        <v>3</v>
      </c>
      <c r="DN4" t="s">
        <v>3</v>
      </c>
      <c r="DO4" s="14" t="s">
        <v>2</v>
      </c>
      <c r="DP4" s="14" t="s">
        <v>2</v>
      </c>
      <c r="DQ4" s="14" t="s">
        <v>2</v>
      </c>
      <c r="DR4" s="14" t="s">
        <v>2</v>
      </c>
      <c r="DS4" t="s">
        <v>3</v>
      </c>
      <c r="DT4" t="s">
        <v>3</v>
      </c>
      <c r="DU4" t="s">
        <v>419</v>
      </c>
      <c r="DV4" t="s">
        <v>419</v>
      </c>
      <c r="DW4" s="14" t="s">
        <v>2</v>
      </c>
      <c r="DX4" s="14" t="s">
        <v>2</v>
      </c>
      <c r="DY4" s="14" t="s">
        <v>2</v>
      </c>
      <c r="DZ4" s="14" t="s">
        <v>2</v>
      </c>
      <c r="EA4" t="s">
        <v>2</v>
      </c>
    </row>
    <row r="5" spans="1:145" x14ac:dyDescent="0.25">
      <c r="A5" s="56">
        <v>2024</v>
      </c>
      <c r="B5" t="s">
        <v>2</v>
      </c>
      <c r="C5" s="19" t="s">
        <v>2</v>
      </c>
      <c r="D5" s="20" t="s">
        <v>2</v>
      </c>
      <c r="E5" s="20" t="s">
        <v>2</v>
      </c>
      <c r="F5" s="20" t="s">
        <v>2</v>
      </c>
      <c r="G5" s="20" t="s">
        <v>2</v>
      </c>
      <c r="H5" s="20" t="s">
        <v>2</v>
      </c>
      <c r="I5" s="20" t="s">
        <v>2</v>
      </c>
      <c r="J5" s="58" t="s">
        <v>397</v>
      </c>
      <c r="K5" s="58" t="s">
        <v>358</v>
      </c>
      <c r="L5" s="58" t="s">
        <v>184</v>
      </c>
      <c r="M5" s="219" t="s">
        <v>193</v>
      </c>
      <c r="O5" s="336"/>
      <c r="P5" s="15" t="s">
        <v>2</v>
      </c>
      <c r="Q5" s="15" t="s">
        <v>2</v>
      </c>
      <c r="R5" s="15" t="s">
        <v>2</v>
      </c>
      <c r="S5" s="15" t="s">
        <v>2</v>
      </c>
      <c r="T5" s="15" t="s">
        <v>2</v>
      </c>
      <c r="U5" s="15" t="s">
        <v>2</v>
      </c>
      <c r="V5" s="15" t="s">
        <v>2</v>
      </c>
      <c r="W5" s="15" t="s">
        <v>2</v>
      </c>
      <c r="X5" s="15" t="s">
        <v>2</v>
      </c>
      <c r="Y5" s="15" t="s">
        <v>2</v>
      </c>
      <c r="Z5" s="1" t="s">
        <v>3</v>
      </c>
      <c r="AA5" s="1" t="s">
        <v>3</v>
      </c>
      <c r="AB5" s="1" t="s">
        <v>3</v>
      </c>
      <c r="AC5" s="1" t="s">
        <v>3</v>
      </c>
      <c r="AD5" s="1" t="s">
        <v>3</v>
      </c>
      <c r="AE5" s="1" t="s">
        <v>3</v>
      </c>
      <c r="AF5" s="1" t="s">
        <v>3</v>
      </c>
      <c r="AG5" s="1" t="s">
        <v>3</v>
      </c>
      <c r="AH5" s="15" t="s">
        <v>2</v>
      </c>
      <c r="AI5" s="1" t="s">
        <v>3</v>
      </c>
      <c r="AJ5" s="1" t="s">
        <v>3</v>
      </c>
      <c r="AK5" s="1" t="s">
        <v>3</v>
      </c>
      <c r="AL5" s="15" t="s">
        <v>2</v>
      </c>
      <c r="AM5" s="15" t="s">
        <v>2</v>
      </c>
      <c r="AN5" s="15" t="s">
        <v>2</v>
      </c>
      <c r="AO5" s="15" t="s">
        <v>2</v>
      </c>
      <c r="AP5" s="15" t="s">
        <v>2</v>
      </c>
      <c r="AQ5" s="15" t="s">
        <v>2</v>
      </c>
      <c r="AR5" s="15" t="s">
        <v>2</v>
      </c>
      <c r="AS5" s="15" t="s">
        <v>2</v>
      </c>
      <c r="AT5" s="15" t="s">
        <v>2</v>
      </c>
      <c r="AU5" s="15" t="s">
        <v>2</v>
      </c>
      <c r="AV5" s="15" t="s">
        <v>2</v>
      </c>
      <c r="AW5" s="15" t="s">
        <v>2</v>
      </c>
      <c r="AX5" s="15" t="s">
        <v>2</v>
      </c>
      <c r="AY5" s="15" t="s">
        <v>2</v>
      </c>
      <c r="AZ5" s="15" t="s">
        <v>2</v>
      </c>
      <c r="BA5" s="15" t="s">
        <v>2</v>
      </c>
      <c r="BB5" s="15" t="s">
        <v>2</v>
      </c>
      <c r="BC5" s="15" t="s">
        <v>2</v>
      </c>
      <c r="BD5" s="1" t="s">
        <v>3</v>
      </c>
      <c r="BE5" s="1" t="s">
        <v>3</v>
      </c>
      <c r="BF5" s="15" t="s">
        <v>2</v>
      </c>
      <c r="BG5" s="15" t="s">
        <v>2</v>
      </c>
      <c r="BH5" s="1" t="s">
        <v>3</v>
      </c>
      <c r="BI5" s="1" t="s">
        <v>3</v>
      </c>
      <c r="BJ5" s="15" t="s">
        <v>2</v>
      </c>
      <c r="BK5" s="15" t="s">
        <v>2</v>
      </c>
      <c r="BL5" s="15" t="s">
        <v>2</v>
      </c>
      <c r="BM5" s="15" t="s">
        <v>2</v>
      </c>
      <c r="BN5" s="1" t="s">
        <v>3</v>
      </c>
      <c r="BO5" s="1" t="s">
        <v>3</v>
      </c>
      <c r="BP5" s="15" t="s">
        <v>2</v>
      </c>
      <c r="BQ5" s="15" t="s">
        <v>2</v>
      </c>
      <c r="BR5" s="15" t="s">
        <v>2</v>
      </c>
      <c r="BS5" s="15" t="s">
        <v>2</v>
      </c>
      <c r="BT5" s="15" t="s">
        <v>2</v>
      </c>
      <c r="BU5" s="15" t="s">
        <v>2</v>
      </c>
      <c r="BV5" s="15" t="s">
        <v>2</v>
      </c>
      <c r="BW5" s="15" t="s">
        <v>2</v>
      </c>
      <c r="BX5" s="15" t="s">
        <v>2</v>
      </c>
      <c r="BY5" s="15" t="s">
        <v>2</v>
      </c>
      <c r="BZ5" s="15" t="s">
        <v>2</v>
      </c>
      <c r="CA5" s="15" t="s">
        <v>2</v>
      </c>
      <c r="CB5" s="15" t="s">
        <v>2</v>
      </c>
      <c r="CC5" s="15" t="s">
        <v>2</v>
      </c>
      <c r="CD5" s="15" t="s">
        <v>2</v>
      </c>
      <c r="CE5" s="15" t="s">
        <v>2</v>
      </c>
      <c r="CF5" s="15" t="s">
        <v>2</v>
      </c>
      <c r="CG5" s="15" t="s">
        <v>2</v>
      </c>
      <c r="CH5" s="15" t="s">
        <v>2</v>
      </c>
      <c r="CI5" s="15" t="s">
        <v>2</v>
      </c>
      <c r="CJ5" s="15" t="s">
        <v>2</v>
      </c>
      <c r="CK5" s="15" t="s">
        <v>2</v>
      </c>
      <c r="CL5" s="15" t="s">
        <v>2</v>
      </c>
      <c r="CM5" s="15" t="s">
        <v>2</v>
      </c>
      <c r="CN5" s="15" t="s">
        <v>2</v>
      </c>
      <c r="CO5" s="15" t="s">
        <v>2</v>
      </c>
      <c r="CP5" s="15" t="s">
        <v>2</v>
      </c>
      <c r="CQ5" s="15" t="s">
        <v>2</v>
      </c>
      <c r="CR5" s="15" t="s">
        <v>2</v>
      </c>
      <c r="CS5" s="15" t="s">
        <v>2</v>
      </c>
      <c r="CT5" s="15" t="s">
        <v>2</v>
      </c>
      <c r="CU5" s="15" t="s">
        <v>2</v>
      </c>
      <c r="CV5" s="15" t="s">
        <v>2</v>
      </c>
      <c r="CW5" s="15" t="s">
        <v>2</v>
      </c>
      <c r="CX5" s="15" t="s">
        <v>2</v>
      </c>
      <c r="CY5" s="15" t="s">
        <v>2</v>
      </c>
      <c r="CZ5" s="15" t="s">
        <v>2</v>
      </c>
      <c r="DA5" s="15" t="s">
        <v>2</v>
      </c>
      <c r="DB5" s="15" t="s">
        <v>2</v>
      </c>
      <c r="DC5" s="15" t="s">
        <v>2</v>
      </c>
      <c r="DD5" s="15" t="s">
        <v>2</v>
      </c>
      <c r="DE5" s="15" t="s">
        <v>2</v>
      </c>
      <c r="DF5" s="15" t="s">
        <v>2</v>
      </c>
      <c r="DG5" s="15" t="s">
        <v>2</v>
      </c>
      <c r="DH5" s="15" t="s">
        <v>2</v>
      </c>
      <c r="DI5" s="15" t="s">
        <v>2</v>
      </c>
      <c r="DJ5" s="15" t="s">
        <v>2</v>
      </c>
      <c r="DK5" s="15" t="s">
        <v>2</v>
      </c>
      <c r="DL5" s="15" t="s">
        <v>2</v>
      </c>
      <c r="DM5" s="15" t="s">
        <v>2</v>
      </c>
      <c r="DN5" s="15" t="s">
        <v>2</v>
      </c>
      <c r="DO5" s="15" t="s">
        <v>2</v>
      </c>
      <c r="DP5" s="15" t="s">
        <v>2</v>
      </c>
      <c r="DQ5" s="15" t="s">
        <v>2</v>
      </c>
      <c r="DR5" s="15" t="s">
        <v>2</v>
      </c>
      <c r="DS5" s="15" t="s">
        <v>2</v>
      </c>
      <c r="DT5" s="15" t="s">
        <v>2</v>
      </c>
      <c r="DU5" s="15" t="s">
        <v>2</v>
      </c>
      <c r="DV5" s="15" t="s">
        <v>2</v>
      </c>
      <c r="DW5" s="15" t="s">
        <v>2</v>
      </c>
      <c r="DX5" s="15" t="s">
        <v>2</v>
      </c>
      <c r="DY5" s="15" t="s">
        <v>2</v>
      </c>
      <c r="DZ5" s="15" t="s">
        <v>2</v>
      </c>
      <c r="EA5" t="s">
        <v>2</v>
      </c>
    </row>
    <row r="6" spans="1:145" x14ac:dyDescent="0.25">
      <c r="A6" s="56">
        <v>2025</v>
      </c>
      <c r="B6" t="s">
        <v>2</v>
      </c>
      <c r="C6" s="19" t="s">
        <v>2</v>
      </c>
      <c r="D6" s="20" t="s">
        <v>2</v>
      </c>
      <c r="E6" s="20" t="s">
        <v>2</v>
      </c>
      <c r="F6" s="20" t="s">
        <v>2</v>
      </c>
      <c r="G6" s="20" t="s">
        <v>2</v>
      </c>
      <c r="H6" s="20" t="s">
        <v>2</v>
      </c>
      <c r="I6" s="20" t="s">
        <v>2</v>
      </c>
      <c r="J6" s="58" t="s">
        <v>392</v>
      </c>
      <c r="K6" s="58" t="s">
        <v>349</v>
      </c>
      <c r="L6" s="58" t="s">
        <v>185</v>
      </c>
      <c r="M6" s="219" t="s">
        <v>194</v>
      </c>
      <c r="EG6" s="42" t="s">
        <v>201</v>
      </c>
    </row>
    <row r="7" spans="1:145" ht="23.25" customHeight="1" x14ac:dyDescent="0.25">
      <c r="A7" s="56">
        <v>2026</v>
      </c>
      <c r="B7" t="s">
        <v>2</v>
      </c>
      <c r="C7" s="19" t="s">
        <v>2</v>
      </c>
      <c r="D7" s="20" t="s">
        <v>2</v>
      </c>
      <c r="E7" s="20" t="s">
        <v>2</v>
      </c>
      <c r="F7" s="20" t="s">
        <v>2</v>
      </c>
      <c r="G7" s="20" t="s">
        <v>2</v>
      </c>
      <c r="H7" s="20" t="s">
        <v>2</v>
      </c>
      <c r="I7" s="20" t="s">
        <v>2</v>
      </c>
      <c r="J7" s="58" t="s">
        <v>393</v>
      </c>
      <c r="K7" s="58" t="s">
        <v>363</v>
      </c>
      <c r="L7" s="58" t="s">
        <v>186</v>
      </c>
      <c r="M7" s="219" t="s">
        <v>195</v>
      </c>
      <c r="O7" s="334" t="s">
        <v>143</v>
      </c>
      <c r="P7" s="28" t="str">
        <f>$P$3</f>
        <v xml:space="preserve">  RFA 2023-102</v>
      </c>
      <c r="Q7" s="28" t="str">
        <f>$Q$3</f>
        <v xml:space="preserve">  RFA 2023-102SF</v>
      </c>
      <c r="R7" s="28" t="str">
        <f>$R$3</f>
        <v xml:space="preserve">  RFA 2023-103</v>
      </c>
      <c r="S7" s="28" t="str">
        <f>$S$3</f>
        <v xml:space="preserve">  RFA 2023-103SF</v>
      </c>
      <c r="T7" s="28" t="str">
        <f>$T$3</f>
        <v xml:space="preserve">  RFA 2023-104</v>
      </c>
      <c r="U7" s="28" t="str">
        <f>$U$3</f>
        <v xml:space="preserve">  RFA 2023-104SF</v>
      </c>
      <c r="V7" s="28" t="str">
        <f>$V$3</f>
        <v xml:space="preserve">  RFA 2023-105</v>
      </c>
      <c r="W7" s="28" t="str">
        <f>$W$3</f>
        <v xml:space="preserve">  RFA 2023-106</v>
      </c>
      <c r="X7" s="28" t="str">
        <f>$X$3</f>
        <v xml:space="preserve">  RFA 2023-106SF</v>
      </c>
      <c r="Y7" s="28" t="str">
        <f>$Y$3</f>
        <v xml:space="preserve">  RFA 2023-108</v>
      </c>
      <c r="Z7" s="167" t="str">
        <f>$Z$3</f>
        <v xml:space="preserve">  RFA 2023-201</v>
      </c>
      <c r="AA7" s="167" t="str">
        <f>$AA$3</f>
        <v xml:space="preserve">  RFA 2023-202</v>
      </c>
      <c r="AB7" s="167" t="str">
        <f>$AB$3</f>
        <v xml:space="preserve">  RFA 2023-202SF</v>
      </c>
      <c r="AC7" s="167" t="str">
        <f>$AC$3</f>
        <v xml:space="preserve">  RFA 2023-203SF</v>
      </c>
      <c r="AD7" s="167" t="s">
        <v>267</v>
      </c>
      <c r="AE7" s="167" t="s">
        <v>268</v>
      </c>
      <c r="AF7" s="167" t="str">
        <f>$AF$3</f>
        <v xml:space="preserve">  RFA 2023-205</v>
      </c>
      <c r="AG7" s="167" t="str">
        <f>$AG$3</f>
        <v xml:space="preserve">  RFA 2023-205SF</v>
      </c>
      <c r="AH7" s="214" t="str">
        <f>$AH$3</f>
        <v xml:space="preserve">  RFA 2023-211</v>
      </c>
      <c r="AI7" s="167" t="str">
        <f>$AI$3</f>
        <v xml:space="preserve">  RFA 2023-212</v>
      </c>
      <c r="AJ7" s="167" t="str">
        <f>$AJ$3</f>
        <v xml:space="preserve">  RFA 2023-213</v>
      </c>
      <c r="AK7" s="167" t="str">
        <f>AK$3</f>
        <v xml:space="preserve">  RFA 2023-213SF</v>
      </c>
      <c r="AL7" s="214" t="str">
        <f>$AL$3</f>
        <v xml:space="preserve">  RFA 2023-304</v>
      </c>
      <c r="AM7" s="167" t="str">
        <f>$AM$3</f>
        <v xml:space="preserve">  RFA 2024-102</v>
      </c>
      <c r="AN7" s="167" t="str">
        <f>$AN$3</f>
        <v xml:space="preserve">  RFA 2024-102SF</v>
      </c>
      <c r="AO7" s="167" t="str">
        <f>$AO$3</f>
        <v xml:space="preserve">  RFA 2024-103</v>
      </c>
      <c r="AP7" s="167" t="str">
        <f>$AP$3</f>
        <v xml:space="preserve">  RFA 2024-103SF</v>
      </c>
      <c r="AQ7" s="167" t="str">
        <f>$AQ$3</f>
        <v xml:space="preserve">  RFA 2024-104</v>
      </c>
      <c r="AR7" s="167" t="str">
        <f>$AR$3</f>
        <v xml:space="preserve">  RFA 2024-104SF</v>
      </c>
      <c r="AS7" s="167" t="str">
        <f>$AS$3</f>
        <v xml:space="preserve">  RFA 2024-105</v>
      </c>
      <c r="AT7" s="167" t="str">
        <f t="shared" ref="AT7:BC7" si="0">AT3</f>
        <v xml:space="preserve">  RFA 2024-106</v>
      </c>
      <c r="AU7" s="167" t="str">
        <f t="shared" si="0"/>
        <v xml:space="preserve">  RFA 2024-106SF</v>
      </c>
      <c r="AV7" s="167" t="str">
        <f t="shared" si="0"/>
        <v xml:space="preserve">  RFA 2024-201</v>
      </c>
      <c r="AW7" s="167" t="str">
        <f t="shared" si="0"/>
        <v xml:space="preserve">  RFA 2024-202</v>
      </c>
      <c r="AX7" s="167" t="str">
        <f t="shared" si="0"/>
        <v xml:space="preserve">  RFA 2024-202SF</v>
      </c>
      <c r="AY7" s="167" t="str">
        <f t="shared" si="0"/>
        <v xml:space="preserve">  RFA 2024-203</v>
      </c>
      <c r="AZ7" s="167" t="str">
        <f t="shared" si="0"/>
        <v xml:space="preserve">  RFA 2024-204</v>
      </c>
      <c r="BA7" s="167" t="str">
        <f t="shared" si="0"/>
        <v xml:space="preserve">  RFA 2024-204SF</v>
      </c>
      <c r="BB7" s="167" t="str">
        <f t="shared" si="0"/>
        <v xml:space="preserve">  RFA 2024-205</v>
      </c>
      <c r="BC7" s="167" t="str">
        <f t="shared" si="0"/>
        <v xml:space="preserve">  RFA 2024-205SF</v>
      </c>
      <c r="BD7" s="167" t="str">
        <f>$BD$3</f>
        <v xml:space="preserve">  RFA 2024-206</v>
      </c>
      <c r="BE7" s="167" t="str">
        <f t="shared" ref="BE7:BY7" si="1">BE3</f>
        <v xml:space="preserve">  RFA 2024-206SF</v>
      </c>
      <c r="BF7" s="167" t="str">
        <f>$BF$3</f>
        <v xml:space="preserve">  RFA 2024-213</v>
      </c>
      <c r="BG7" s="167" t="str">
        <f>$BG$3</f>
        <v xml:space="preserve">  RFA 2024-213SF</v>
      </c>
      <c r="BH7" s="167" t="str">
        <f t="shared" si="1"/>
        <v xml:space="preserve">  RFA 2024-214</v>
      </c>
      <c r="BI7" s="167" t="str">
        <f t="shared" si="1"/>
        <v xml:space="preserve">  RFA 2024-214SF</v>
      </c>
      <c r="BJ7" s="167" t="str">
        <f t="shared" si="1"/>
        <v xml:space="preserve">  RFA 2024-215</v>
      </c>
      <c r="BK7" s="167" t="str">
        <f t="shared" si="1"/>
        <v xml:space="preserve">  RFA 2024-215SF</v>
      </c>
      <c r="BL7" s="167" t="str">
        <f t="shared" si="1"/>
        <v xml:space="preserve">  RFA 2024-216</v>
      </c>
      <c r="BM7" s="167" t="str">
        <f t="shared" si="1"/>
        <v xml:space="preserve">  RFA 2024-216SF</v>
      </c>
      <c r="BN7" s="167" t="str">
        <f t="shared" si="1"/>
        <v xml:space="preserve">  RFA 2024-305</v>
      </c>
      <c r="BO7" s="167" t="str">
        <f t="shared" si="1"/>
        <v xml:space="preserve">  RFA 2024-305SF</v>
      </c>
      <c r="BP7" s="167" t="str">
        <f t="shared" si="1"/>
        <v xml:space="preserve">  RFA 2024-306</v>
      </c>
      <c r="BQ7" s="167" t="str">
        <f t="shared" ref="BQ7:BW7" si="2">BQ3</f>
        <v xml:space="preserve">  RFA 2024-306SF</v>
      </c>
      <c r="BR7" s="167" t="str">
        <f t="shared" si="1"/>
        <v xml:space="preserve">  RFA 2025-102</v>
      </c>
      <c r="BS7" s="167" t="str">
        <f t="shared" si="2"/>
        <v xml:space="preserve">  RFA 2025-102SF</v>
      </c>
      <c r="BT7" s="167" t="str">
        <f t="shared" si="1"/>
        <v xml:space="preserve">  RFA 2025-103</v>
      </c>
      <c r="BU7" s="167" t="str">
        <f t="shared" si="2"/>
        <v xml:space="preserve">  RFA 2025-103SF</v>
      </c>
      <c r="BV7" s="167" t="str">
        <f t="shared" si="1"/>
        <v xml:space="preserve">  RFA 2025-104</v>
      </c>
      <c r="BW7" s="167" t="str">
        <f t="shared" si="2"/>
        <v xml:space="preserve">  RFA 2025-104SF</v>
      </c>
      <c r="BX7" s="167" t="str">
        <f t="shared" si="1"/>
        <v xml:space="preserve">  RFA 2025-106</v>
      </c>
      <c r="BY7" s="167" t="str">
        <f t="shared" si="1"/>
        <v xml:space="preserve">  RFA 2025-106SF</v>
      </c>
      <c r="BZ7" s="167" t="str">
        <f>$BZ$3</f>
        <v xml:space="preserve">  RFA 2025-108</v>
      </c>
      <c r="CA7" s="167" t="str">
        <f>$CA$3</f>
        <v xml:space="preserve">  RFA 2025-108SF</v>
      </c>
      <c r="CB7" s="167" t="str">
        <f t="shared" ref="CB7:CI7" si="3">CB3</f>
        <v xml:space="preserve">  RFA 2025-201</v>
      </c>
      <c r="CC7" s="167" t="str">
        <f t="shared" si="3"/>
        <v xml:space="preserve">  RFA 2025-202</v>
      </c>
      <c r="CD7" s="167" t="str">
        <f t="shared" si="3"/>
        <v xml:space="preserve">  RFA 2025-202SF</v>
      </c>
      <c r="CE7" s="167" t="str">
        <f t="shared" si="3"/>
        <v xml:space="preserve">  RFA 2025-203</v>
      </c>
      <c r="CF7" s="167" t="str">
        <f t="shared" si="3"/>
        <v xml:space="preserve">  RFA 2025-204</v>
      </c>
      <c r="CG7" s="167" t="str">
        <f t="shared" si="3"/>
        <v xml:space="preserve">  RFA 2025-204SF</v>
      </c>
      <c r="CH7" s="167" t="str">
        <f t="shared" si="3"/>
        <v xml:space="preserve">  RFA 2025-205</v>
      </c>
      <c r="CI7" s="167" t="str">
        <f t="shared" si="3"/>
        <v xml:space="preserve">  RFA 2025-205SF</v>
      </c>
      <c r="CJ7" s="167" t="str">
        <f t="shared" ref="CJ7:CK7" si="4">CJ3</f>
        <v xml:space="preserve">  RFA 2025-206</v>
      </c>
      <c r="CK7" s="167" t="str">
        <f t="shared" si="4"/>
        <v xml:space="preserve">  RFA 2025-206SF</v>
      </c>
      <c r="CL7" s="167" t="str">
        <f>CL3</f>
        <v xml:space="preserve">  RFA 2025-212</v>
      </c>
      <c r="CM7" s="167" t="str">
        <f>CM3</f>
        <v xml:space="preserve">  RFA 2025-212SF</v>
      </c>
      <c r="CN7" s="167" t="str">
        <f>CN3</f>
        <v xml:space="preserve">  RFA 2025-213</v>
      </c>
      <c r="CO7" s="167" t="str">
        <f>CO3</f>
        <v xml:space="preserve">  RFA 2025-213SF</v>
      </c>
      <c r="CP7" s="167" t="str">
        <f t="shared" ref="CP7:DA7" si="5">CP3</f>
        <v xml:space="preserve">  RFA 2025-214</v>
      </c>
      <c r="CQ7" s="167" t="str">
        <f t="shared" si="5"/>
        <v xml:space="preserve">  RFA 2025-214SF</v>
      </c>
      <c r="CR7" s="167" t="str">
        <f t="shared" si="5"/>
        <v xml:space="preserve">  RFA 2025-215</v>
      </c>
      <c r="CS7" s="167" t="str">
        <f t="shared" si="5"/>
        <v xml:space="preserve">  RFA 2025-215SF</v>
      </c>
      <c r="CT7" s="167" t="str">
        <f>CT3</f>
        <v xml:space="preserve">  RFA 2025-216</v>
      </c>
      <c r="CU7" s="167" t="str">
        <f>CU3</f>
        <v xml:space="preserve">  RFA 2025-216SF</v>
      </c>
      <c r="CV7" s="167" t="str">
        <f t="shared" si="5"/>
        <v xml:space="preserve">  RFA 2026-102</v>
      </c>
      <c r="CW7" s="167" t="str">
        <f t="shared" si="5"/>
        <v xml:space="preserve">  RFA 2026-102SF</v>
      </c>
      <c r="CX7" s="167" t="str">
        <f t="shared" si="5"/>
        <v xml:space="preserve">  RFA 2026-103</v>
      </c>
      <c r="CY7" s="167" t="str">
        <f t="shared" si="5"/>
        <v xml:space="preserve">  RFA 2026-103SF</v>
      </c>
      <c r="CZ7" s="167" t="str">
        <f t="shared" si="5"/>
        <v xml:space="preserve">  RFA 2026-104</v>
      </c>
      <c r="DA7" s="167" t="str">
        <f t="shared" si="5"/>
        <v xml:space="preserve">  RFA 2026-104SF</v>
      </c>
      <c r="DB7" s="167" t="str">
        <f>DB3</f>
        <v xml:space="preserve">  RFA 2026-105</v>
      </c>
      <c r="DC7" s="167" t="str">
        <f t="shared" ref="DC7:DL7" si="6">DC3</f>
        <v xml:space="preserve">  RFA 2026-106</v>
      </c>
      <c r="DD7" s="167" t="str">
        <f t="shared" si="6"/>
        <v xml:space="preserve">  RFA 2026-106SF</v>
      </c>
      <c r="DE7" s="167" t="str">
        <f>$DE$3</f>
        <v xml:space="preserve">  RFA 2026-108</v>
      </c>
      <c r="DF7" s="167" t="str">
        <f>$DF$3</f>
        <v xml:space="preserve">  RFA 2026-108SF</v>
      </c>
      <c r="DG7" s="167" t="str">
        <f t="shared" si="6"/>
        <v xml:space="preserve">  RFA 2026-201</v>
      </c>
      <c r="DH7" s="167" t="str">
        <f t="shared" si="6"/>
        <v xml:space="preserve">  RFA 2026-202</v>
      </c>
      <c r="DI7" s="167" t="str">
        <f t="shared" si="6"/>
        <v xml:space="preserve">  RFA 2026-202SF</v>
      </c>
      <c r="DJ7" s="167" t="str">
        <f t="shared" si="6"/>
        <v xml:space="preserve">  RFA 2026-203</v>
      </c>
      <c r="DK7" s="167" t="str">
        <f t="shared" si="6"/>
        <v xml:space="preserve">  RFA 2026-204</v>
      </c>
      <c r="DL7" s="167" t="str">
        <f t="shared" si="6"/>
        <v xml:space="preserve">  RFA 2026-204SF</v>
      </c>
      <c r="DM7" s="167" t="s">
        <v>422</v>
      </c>
      <c r="DN7" s="167" t="s">
        <v>423</v>
      </c>
      <c r="DO7" s="167" t="str">
        <f t="shared" ref="DO7:DV7" si="7">DO3</f>
        <v xml:space="preserve">  RFA 2026-206</v>
      </c>
      <c r="DP7" s="167" t="str">
        <f t="shared" si="7"/>
        <v xml:space="preserve">  RFA 2026-206SF</v>
      </c>
      <c r="DQ7" s="167" t="str">
        <f t="shared" si="7"/>
        <v xml:space="preserve">  RFA 2026-212</v>
      </c>
      <c r="DR7" s="167" t="str">
        <f t="shared" si="7"/>
        <v xml:space="preserve">  RFA 2026-212SF</v>
      </c>
      <c r="DS7" s="167" t="str">
        <f t="shared" si="7"/>
        <v xml:space="preserve">  RFA 2026-216</v>
      </c>
      <c r="DT7" s="167" t="str">
        <f t="shared" si="7"/>
        <v xml:space="preserve">  RFA 2026-216SF</v>
      </c>
      <c r="DU7" s="167" t="str">
        <f t="shared" si="7"/>
        <v xml:space="preserve">  RFA 2026-218</v>
      </c>
      <c r="DV7" s="167" t="str">
        <f t="shared" si="7"/>
        <v xml:space="preserve">  RFA 2026-218SF</v>
      </c>
      <c r="DW7" s="167" t="str">
        <f>$DW$3</f>
        <v xml:space="preserve">  RFA 2027-103</v>
      </c>
      <c r="DX7" s="167" t="str">
        <f>$DX$3</f>
        <v xml:space="preserve">  RFA 2027-103SF</v>
      </c>
      <c r="DY7" s="167" t="str">
        <f>$DY$3</f>
        <v xml:space="preserve">  RFA 2027-106</v>
      </c>
      <c r="DZ7" s="167" t="str">
        <f>$DZ$3</f>
        <v xml:space="preserve">  RFA 2027-106SF</v>
      </c>
      <c r="EA7" s="25"/>
      <c r="EG7" t="s">
        <v>202</v>
      </c>
      <c r="EH7" s="66" t="s">
        <v>171</v>
      </c>
      <c r="EI7" s="66" t="s">
        <v>171</v>
      </c>
      <c r="EJ7" s="237" t="s">
        <v>313</v>
      </c>
      <c r="EK7" s="237" t="s">
        <v>313</v>
      </c>
      <c r="EL7" s="238" t="s">
        <v>381</v>
      </c>
      <c r="EM7" s="238" t="s">
        <v>381</v>
      </c>
      <c r="EN7" s="244" t="s">
        <v>405</v>
      </c>
      <c r="EO7" s="244" t="s">
        <v>405</v>
      </c>
    </row>
    <row r="8" spans="1:145" x14ac:dyDescent="0.25">
      <c r="A8" s="10">
        <v>2027</v>
      </c>
      <c r="B8" t="s">
        <v>2</v>
      </c>
      <c r="C8" s="19" t="s">
        <v>2</v>
      </c>
      <c r="D8" s="20" t="s">
        <v>2</v>
      </c>
      <c r="E8" s="20" t="s">
        <v>2</v>
      </c>
      <c r="F8" s="20" t="s">
        <v>2</v>
      </c>
      <c r="G8" s="20" t="s">
        <v>2</v>
      </c>
      <c r="H8" s="20" t="s">
        <v>2</v>
      </c>
      <c r="I8" s="20" t="s">
        <v>2</v>
      </c>
      <c r="J8" s="58" t="s">
        <v>457</v>
      </c>
      <c r="K8" s="58" t="s">
        <v>367</v>
      </c>
      <c r="L8" s="58" t="s">
        <v>322</v>
      </c>
      <c r="M8" s="219" t="s">
        <v>196</v>
      </c>
      <c r="O8" s="335"/>
      <c r="P8" s="14" t="s">
        <v>2</v>
      </c>
      <c r="Q8" s="14" t="s">
        <v>2</v>
      </c>
      <c r="R8" s="14" t="s">
        <v>2</v>
      </c>
      <c r="S8" s="14" t="s">
        <v>2</v>
      </c>
      <c r="T8" s="14" t="s">
        <v>2</v>
      </c>
      <c r="U8" s="14" t="s">
        <v>2</v>
      </c>
      <c r="V8" s="14" t="s">
        <v>2</v>
      </c>
      <c r="W8" s="14" t="s">
        <v>2</v>
      </c>
      <c r="X8" s="14" t="s">
        <v>2</v>
      </c>
      <c r="Y8" s="14" t="s">
        <v>2</v>
      </c>
      <c r="Z8" s="39">
        <v>7500</v>
      </c>
      <c r="AA8" s="39">
        <v>7500</v>
      </c>
      <c r="AB8" s="39">
        <v>7500</v>
      </c>
      <c r="AC8" s="39">
        <v>7500</v>
      </c>
      <c r="AD8" s="39">
        <v>7500</v>
      </c>
      <c r="AE8" s="39">
        <v>7500</v>
      </c>
      <c r="AF8" s="39">
        <v>7500</v>
      </c>
      <c r="AG8" s="39">
        <v>7500</v>
      </c>
      <c r="AH8" s="14" t="s">
        <v>2</v>
      </c>
      <c r="AI8" s="39">
        <v>7500</v>
      </c>
      <c r="AJ8" s="39">
        <v>7500</v>
      </c>
      <c r="AK8" s="39">
        <v>7500</v>
      </c>
      <c r="AL8" s="14" t="s">
        <v>2</v>
      </c>
      <c r="AM8" s="39">
        <v>7500</v>
      </c>
      <c r="AN8" s="39">
        <v>7500</v>
      </c>
      <c r="AO8" s="39">
        <v>7500</v>
      </c>
      <c r="AP8" s="39">
        <v>7500</v>
      </c>
      <c r="AQ8" s="39">
        <v>7500</v>
      </c>
      <c r="AR8" s="39">
        <v>7500</v>
      </c>
      <c r="AS8" s="14" t="s">
        <v>2</v>
      </c>
      <c r="AT8" s="39">
        <v>7500</v>
      </c>
      <c r="AU8" s="39">
        <v>7500</v>
      </c>
      <c r="AV8" s="14" t="s">
        <v>2</v>
      </c>
      <c r="AW8" s="14" t="s">
        <v>2</v>
      </c>
      <c r="AX8" s="14" t="s">
        <v>2</v>
      </c>
      <c r="AY8" s="14" t="s">
        <v>2</v>
      </c>
      <c r="AZ8" s="39">
        <v>7500</v>
      </c>
      <c r="BA8" s="39">
        <v>7500</v>
      </c>
      <c r="BB8" s="39">
        <v>7500</v>
      </c>
      <c r="BC8" s="39">
        <v>7500</v>
      </c>
      <c r="BD8" s="39">
        <v>7500</v>
      </c>
      <c r="BE8" s="39">
        <v>7500</v>
      </c>
      <c r="BF8" s="39">
        <v>7500</v>
      </c>
      <c r="BG8" s="39">
        <v>7500</v>
      </c>
      <c r="BH8" s="39">
        <v>7500</v>
      </c>
      <c r="BI8" s="39">
        <v>7500</v>
      </c>
      <c r="BJ8" s="39">
        <v>7500</v>
      </c>
      <c r="BK8" s="39">
        <v>7500</v>
      </c>
      <c r="BL8" s="39">
        <v>7500</v>
      </c>
      <c r="BM8" s="39">
        <v>7500</v>
      </c>
      <c r="BN8" s="39">
        <v>7500</v>
      </c>
      <c r="BO8" s="39">
        <v>7500</v>
      </c>
      <c r="BP8" s="39">
        <v>7500</v>
      </c>
      <c r="BQ8" s="39">
        <v>7500</v>
      </c>
      <c r="BR8" s="14" t="s">
        <v>2</v>
      </c>
      <c r="BS8" s="14" t="s">
        <v>2</v>
      </c>
      <c r="BT8" s="14" t="s">
        <v>2</v>
      </c>
      <c r="BU8" s="14" t="s">
        <v>2</v>
      </c>
      <c r="BV8" s="14" t="s">
        <v>2</v>
      </c>
      <c r="BW8" s="14" t="s">
        <v>2</v>
      </c>
      <c r="BX8" s="14" t="s">
        <v>2</v>
      </c>
      <c r="BY8" s="14" t="s">
        <v>2</v>
      </c>
      <c r="BZ8" s="14" t="s">
        <v>2</v>
      </c>
      <c r="CA8" s="14" t="s">
        <v>2</v>
      </c>
      <c r="CB8" s="14" t="s">
        <v>2</v>
      </c>
      <c r="CC8" s="14" t="s">
        <v>2</v>
      </c>
      <c r="CD8" s="14" t="s">
        <v>2</v>
      </c>
      <c r="CE8" s="14" t="s">
        <v>2</v>
      </c>
      <c r="CF8" s="39">
        <v>7500</v>
      </c>
      <c r="CG8" s="39">
        <v>7500</v>
      </c>
      <c r="CH8" s="39">
        <v>7500</v>
      </c>
      <c r="CI8" s="39">
        <v>7500</v>
      </c>
      <c r="CJ8" s="14" t="s">
        <v>2</v>
      </c>
      <c r="CK8" s="14" t="s">
        <v>2</v>
      </c>
      <c r="CL8" s="14" t="s">
        <v>2</v>
      </c>
      <c r="CM8" s="14" t="s">
        <v>2</v>
      </c>
      <c r="CN8" s="39">
        <v>7500</v>
      </c>
      <c r="CO8" s="39">
        <v>7500</v>
      </c>
      <c r="CP8" s="39">
        <v>7500</v>
      </c>
      <c r="CQ8" s="39">
        <v>7500</v>
      </c>
      <c r="CR8" s="39">
        <v>7500</v>
      </c>
      <c r="CS8" s="39">
        <v>7500</v>
      </c>
      <c r="CT8" s="39">
        <v>7500</v>
      </c>
      <c r="CU8" s="39">
        <v>7500</v>
      </c>
      <c r="CV8" s="14" t="s">
        <v>2</v>
      </c>
      <c r="CW8" s="14" t="s">
        <v>2</v>
      </c>
      <c r="CX8" s="14" t="s">
        <v>2</v>
      </c>
      <c r="CY8" s="14" t="s">
        <v>2</v>
      </c>
      <c r="CZ8" s="14" t="s">
        <v>2</v>
      </c>
      <c r="DA8" s="14" t="s">
        <v>2</v>
      </c>
      <c r="DB8" s="14" t="s">
        <v>2</v>
      </c>
      <c r="DC8" s="14" t="s">
        <v>2</v>
      </c>
      <c r="DD8" s="14" t="s">
        <v>2</v>
      </c>
      <c r="DE8" s="14" t="s">
        <v>2</v>
      </c>
      <c r="DF8" s="14" t="s">
        <v>2</v>
      </c>
      <c r="DG8" s="14" t="s">
        <v>2</v>
      </c>
      <c r="DH8" s="14" t="s">
        <v>2</v>
      </c>
      <c r="DI8" s="14" t="s">
        <v>2</v>
      </c>
      <c r="DJ8" s="14" t="s">
        <v>2</v>
      </c>
      <c r="DK8" s="39">
        <v>7500</v>
      </c>
      <c r="DL8" s="39">
        <v>7500</v>
      </c>
      <c r="DM8" s="39">
        <v>7500</v>
      </c>
      <c r="DN8" s="39">
        <v>7500</v>
      </c>
      <c r="DO8" s="14" t="s">
        <v>2</v>
      </c>
      <c r="DP8" s="14" t="s">
        <v>2</v>
      </c>
      <c r="DQ8" s="14" t="s">
        <v>2</v>
      </c>
      <c r="DR8" s="14" t="s">
        <v>2</v>
      </c>
      <c r="DS8" s="39">
        <v>7500</v>
      </c>
      <c r="DT8" s="39">
        <v>7500</v>
      </c>
      <c r="DU8" t="s">
        <v>419</v>
      </c>
      <c r="DV8" t="s">
        <v>419</v>
      </c>
      <c r="DW8" s="14" t="s">
        <v>2</v>
      </c>
      <c r="DX8" s="14" t="s">
        <v>2</v>
      </c>
      <c r="DY8" s="14" t="s">
        <v>2</v>
      </c>
      <c r="DZ8" s="14" t="s">
        <v>2</v>
      </c>
      <c r="EG8" t="s">
        <v>203</v>
      </c>
      <c r="EH8" s="8" t="s">
        <v>144</v>
      </c>
      <c r="EI8" s="8" t="s">
        <v>145</v>
      </c>
      <c r="EJ8" s="8" t="s">
        <v>144</v>
      </c>
      <c r="EK8" s="8" t="s">
        <v>145</v>
      </c>
      <c r="EL8" s="8" t="s">
        <v>144</v>
      </c>
      <c r="EM8" s="8" t="s">
        <v>145</v>
      </c>
      <c r="EN8" s="8" t="s">
        <v>144</v>
      </c>
      <c r="EO8" s="8" t="s">
        <v>145</v>
      </c>
    </row>
    <row r="9" spans="1:145" ht="18.75" customHeight="1" x14ac:dyDescent="0.25">
      <c r="B9" t="s">
        <v>2</v>
      </c>
      <c r="C9" s="19" t="s">
        <v>2</v>
      </c>
      <c r="D9" s="20" t="s">
        <v>2</v>
      </c>
      <c r="E9" s="20" t="s">
        <v>2</v>
      </c>
      <c r="F9" s="20" t="s">
        <v>2</v>
      </c>
      <c r="G9" s="20" t="s">
        <v>2</v>
      </c>
      <c r="H9" s="20" t="s">
        <v>2</v>
      </c>
      <c r="I9" s="20" t="s">
        <v>2</v>
      </c>
      <c r="J9" s="58" t="s">
        <v>414</v>
      </c>
      <c r="K9" s="58" t="s">
        <v>368</v>
      </c>
      <c r="L9" s="58" t="s">
        <v>323</v>
      </c>
      <c r="M9" s="211" t="s">
        <v>153</v>
      </c>
      <c r="O9" s="336"/>
      <c r="P9" s="15" t="s">
        <v>2</v>
      </c>
      <c r="Q9" s="15" t="s">
        <v>2</v>
      </c>
      <c r="R9" s="15" t="s">
        <v>2</v>
      </c>
      <c r="S9" s="15" t="s">
        <v>2</v>
      </c>
      <c r="T9" s="15" t="s">
        <v>2</v>
      </c>
      <c r="U9" s="15" t="s">
        <v>2</v>
      </c>
      <c r="V9" s="15" t="s">
        <v>2</v>
      </c>
      <c r="W9" s="15" t="s">
        <v>2</v>
      </c>
      <c r="X9" s="15" t="s">
        <v>2</v>
      </c>
      <c r="Y9" s="15" t="s">
        <v>2</v>
      </c>
      <c r="Z9" s="5">
        <v>7500</v>
      </c>
      <c r="AA9" s="5">
        <v>7500</v>
      </c>
      <c r="AB9" s="5">
        <v>7500</v>
      </c>
      <c r="AC9" s="5">
        <v>7500</v>
      </c>
      <c r="AD9" s="5">
        <v>7500</v>
      </c>
      <c r="AE9" s="5">
        <v>7500</v>
      </c>
      <c r="AF9" s="5">
        <v>7500</v>
      </c>
      <c r="AG9" s="5">
        <v>7500</v>
      </c>
      <c r="AH9" s="15" t="s">
        <v>2</v>
      </c>
      <c r="AI9" s="5">
        <v>7500</v>
      </c>
      <c r="AJ9" s="5">
        <v>7500</v>
      </c>
      <c r="AK9" s="5">
        <v>7500</v>
      </c>
      <c r="AL9" s="15" t="s">
        <v>2</v>
      </c>
      <c r="AM9" s="15" t="s">
        <v>2</v>
      </c>
      <c r="AN9" s="15" t="s">
        <v>2</v>
      </c>
      <c r="AO9" s="15" t="s">
        <v>2</v>
      </c>
      <c r="AP9" s="15" t="s">
        <v>2</v>
      </c>
      <c r="AQ9" s="15" t="s">
        <v>2</v>
      </c>
      <c r="AR9" s="15" t="s">
        <v>2</v>
      </c>
      <c r="AS9" s="15" t="s">
        <v>2</v>
      </c>
      <c r="AT9" s="15" t="s">
        <v>2</v>
      </c>
      <c r="AU9" s="15" t="s">
        <v>2</v>
      </c>
      <c r="AV9" s="15" t="s">
        <v>2</v>
      </c>
      <c r="AW9" s="15" t="s">
        <v>2</v>
      </c>
      <c r="AX9" s="15" t="s">
        <v>2</v>
      </c>
      <c r="AY9" s="15" t="s">
        <v>2</v>
      </c>
      <c r="AZ9" s="15" t="s">
        <v>2</v>
      </c>
      <c r="BA9" s="15" t="s">
        <v>2</v>
      </c>
      <c r="BB9" s="15" t="s">
        <v>2</v>
      </c>
      <c r="BC9" s="15" t="s">
        <v>2</v>
      </c>
      <c r="BD9" s="5">
        <v>7500</v>
      </c>
      <c r="BE9" s="5">
        <v>7500</v>
      </c>
      <c r="BF9" s="15" t="s">
        <v>2</v>
      </c>
      <c r="BG9" s="15" t="s">
        <v>2</v>
      </c>
      <c r="BH9" s="5">
        <v>7500</v>
      </c>
      <c r="BI9" s="5">
        <v>7500</v>
      </c>
      <c r="BJ9" s="15" t="s">
        <v>2</v>
      </c>
      <c r="BK9" s="15" t="s">
        <v>2</v>
      </c>
      <c r="BL9" s="15" t="s">
        <v>2</v>
      </c>
      <c r="BM9" s="15" t="s">
        <v>2</v>
      </c>
      <c r="BN9" s="5">
        <v>7500</v>
      </c>
      <c r="BO9" s="5">
        <v>7500</v>
      </c>
      <c r="BP9" s="15" t="s">
        <v>2</v>
      </c>
      <c r="BQ9" s="15" t="s">
        <v>2</v>
      </c>
      <c r="BR9" s="15" t="s">
        <v>2</v>
      </c>
      <c r="BS9" s="15" t="s">
        <v>2</v>
      </c>
      <c r="BT9" s="15" t="s">
        <v>2</v>
      </c>
      <c r="BU9" s="15" t="s">
        <v>2</v>
      </c>
      <c r="BV9" s="15" t="s">
        <v>2</v>
      </c>
      <c r="BW9" s="15" t="s">
        <v>2</v>
      </c>
      <c r="BX9" s="15" t="s">
        <v>2</v>
      </c>
      <c r="BY9" s="15" t="s">
        <v>2</v>
      </c>
      <c r="BZ9" s="15" t="s">
        <v>2</v>
      </c>
      <c r="CA9" s="15" t="s">
        <v>2</v>
      </c>
      <c r="CB9" s="15" t="s">
        <v>2</v>
      </c>
      <c r="CC9" s="15" t="s">
        <v>2</v>
      </c>
      <c r="CD9" s="15" t="s">
        <v>2</v>
      </c>
      <c r="CE9" s="15" t="s">
        <v>2</v>
      </c>
      <c r="CF9" s="15" t="s">
        <v>2</v>
      </c>
      <c r="CG9" s="15" t="s">
        <v>2</v>
      </c>
      <c r="CH9" s="15" t="s">
        <v>2</v>
      </c>
      <c r="CI9" s="15" t="s">
        <v>2</v>
      </c>
      <c r="CJ9" s="15" t="s">
        <v>2</v>
      </c>
      <c r="CK9" s="15" t="s">
        <v>2</v>
      </c>
      <c r="CL9" s="15" t="s">
        <v>2</v>
      </c>
      <c r="CM9" s="15" t="s">
        <v>2</v>
      </c>
      <c r="CN9" s="15" t="s">
        <v>2</v>
      </c>
      <c r="CO9" s="15" t="s">
        <v>2</v>
      </c>
      <c r="CP9" s="15" t="s">
        <v>2</v>
      </c>
      <c r="CQ9" s="15" t="s">
        <v>2</v>
      </c>
      <c r="CR9" s="15" t="s">
        <v>2</v>
      </c>
      <c r="CS9" s="15" t="s">
        <v>2</v>
      </c>
      <c r="CT9" s="15" t="s">
        <v>2</v>
      </c>
      <c r="CU9" s="15" t="s">
        <v>2</v>
      </c>
      <c r="CV9" s="15" t="s">
        <v>2</v>
      </c>
      <c r="CW9" s="15" t="s">
        <v>2</v>
      </c>
      <c r="CX9" s="15" t="s">
        <v>2</v>
      </c>
      <c r="CY9" s="15" t="s">
        <v>2</v>
      </c>
      <c r="CZ9" s="15" t="s">
        <v>2</v>
      </c>
      <c r="DA9" s="15" t="s">
        <v>2</v>
      </c>
      <c r="DB9" s="15" t="s">
        <v>2</v>
      </c>
      <c r="DC9" s="15" t="s">
        <v>2</v>
      </c>
      <c r="DD9" s="15" t="s">
        <v>2</v>
      </c>
      <c r="DE9" s="15" t="s">
        <v>2</v>
      </c>
      <c r="DF9" s="15" t="s">
        <v>2</v>
      </c>
      <c r="DG9" s="15" t="s">
        <v>2</v>
      </c>
      <c r="DH9" s="15" t="s">
        <v>2</v>
      </c>
      <c r="DI9" s="15" t="s">
        <v>2</v>
      </c>
      <c r="DJ9" s="15" t="s">
        <v>2</v>
      </c>
      <c r="DK9" s="15" t="s">
        <v>2</v>
      </c>
      <c r="DL9" s="15" t="s">
        <v>2</v>
      </c>
      <c r="DM9" s="15" t="s">
        <v>2</v>
      </c>
      <c r="DN9" s="15" t="s">
        <v>2</v>
      </c>
      <c r="DO9" s="15" t="s">
        <v>2</v>
      </c>
      <c r="DP9" s="15" t="s">
        <v>2</v>
      </c>
      <c r="DQ9" s="15" t="s">
        <v>2</v>
      </c>
      <c r="DR9" s="15" t="s">
        <v>2</v>
      </c>
      <c r="DS9" s="15" t="s">
        <v>2</v>
      </c>
      <c r="DT9" s="15" t="s">
        <v>2</v>
      </c>
      <c r="DU9" s="15" t="s">
        <v>2</v>
      </c>
      <c r="DV9" s="15" t="s">
        <v>2</v>
      </c>
      <c r="DW9" s="15" t="s">
        <v>2</v>
      </c>
      <c r="DX9" s="15" t="s">
        <v>2</v>
      </c>
      <c r="DY9" s="15" t="s">
        <v>2</v>
      </c>
      <c r="DZ9" s="15" t="s">
        <v>2</v>
      </c>
      <c r="EG9" t="s">
        <v>133</v>
      </c>
      <c r="EH9" s="41">
        <v>220000</v>
      </c>
      <c r="EI9" s="41">
        <v>240000</v>
      </c>
      <c r="EJ9" s="41">
        <v>233000</v>
      </c>
      <c r="EK9" s="41">
        <v>258000</v>
      </c>
      <c r="EL9" s="41">
        <v>247000</v>
      </c>
      <c r="EM9" s="41">
        <v>275000</v>
      </c>
      <c r="EN9" s="41">
        <v>256000</v>
      </c>
      <c r="EO9" s="41">
        <v>284000</v>
      </c>
    </row>
    <row r="10" spans="1:145" x14ac:dyDescent="0.25">
      <c r="B10" t="s">
        <v>2</v>
      </c>
      <c r="C10" s="19" t="s">
        <v>2</v>
      </c>
      <c r="D10" s="20" t="s">
        <v>2</v>
      </c>
      <c r="E10" s="20" t="s">
        <v>2</v>
      </c>
      <c r="F10" s="20" t="s">
        <v>2</v>
      </c>
      <c r="G10" s="20" t="s">
        <v>2</v>
      </c>
      <c r="H10" s="20" t="s">
        <v>2</v>
      </c>
      <c r="I10" s="20" t="s">
        <v>2</v>
      </c>
      <c r="J10" s="58" t="s">
        <v>415</v>
      </c>
      <c r="K10" s="58" t="s">
        <v>370</v>
      </c>
      <c r="L10" s="58" t="s">
        <v>324</v>
      </c>
      <c r="M10" s="211" t="s">
        <v>154</v>
      </c>
      <c r="EG10" t="s">
        <v>114</v>
      </c>
      <c r="EH10" s="41">
        <v>240000</v>
      </c>
      <c r="EI10" s="41">
        <v>260000</v>
      </c>
      <c r="EJ10" s="41">
        <v>258000</v>
      </c>
      <c r="EK10" s="41">
        <v>283000</v>
      </c>
      <c r="EL10" s="41">
        <v>275000</v>
      </c>
      <c r="EM10" s="41">
        <v>300000</v>
      </c>
      <c r="EN10" s="41">
        <v>284000</v>
      </c>
      <c r="EO10" s="41">
        <v>312000</v>
      </c>
    </row>
    <row r="11" spans="1:145" ht="15" customHeight="1" x14ac:dyDescent="0.25">
      <c r="B11" t="s">
        <v>2</v>
      </c>
      <c r="C11" s="19" t="s">
        <v>2</v>
      </c>
      <c r="D11" s="20" t="s">
        <v>2</v>
      </c>
      <c r="E11" s="20" t="s">
        <v>2</v>
      </c>
      <c r="F11" s="20" t="s">
        <v>2</v>
      </c>
      <c r="G11" s="20" t="s">
        <v>2</v>
      </c>
      <c r="H11" s="20" t="s">
        <v>2</v>
      </c>
      <c r="I11" s="20" t="s">
        <v>2</v>
      </c>
      <c r="J11" s="58" t="s">
        <v>417</v>
      </c>
      <c r="K11" s="58" t="s">
        <v>371</v>
      </c>
      <c r="L11" s="58" t="s">
        <v>325</v>
      </c>
      <c r="M11" s="211" t="s">
        <v>155</v>
      </c>
      <c r="O11" s="334" t="s">
        <v>90</v>
      </c>
      <c r="P11" s="28" t="str">
        <f>$P$3</f>
        <v xml:space="preserve">  RFA 2023-102</v>
      </c>
      <c r="Q11" s="28" t="str">
        <f>$Q$3</f>
        <v xml:space="preserve">  RFA 2023-102SF</v>
      </c>
      <c r="R11" s="28" t="str">
        <f>$R$3</f>
        <v xml:space="preserve">  RFA 2023-103</v>
      </c>
      <c r="S11" s="28" t="str">
        <f>$S$3</f>
        <v xml:space="preserve">  RFA 2023-103SF</v>
      </c>
      <c r="T11" s="28" t="str">
        <f>$T$3</f>
        <v xml:space="preserve">  RFA 2023-104</v>
      </c>
      <c r="U11" s="28" t="str">
        <f>$U$3</f>
        <v xml:space="preserve">  RFA 2023-104SF</v>
      </c>
      <c r="V11" s="28" t="str">
        <f>$V$3</f>
        <v xml:space="preserve">  RFA 2023-105</v>
      </c>
      <c r="W11" s="28" t="str">
        <f>$W$3</f>
        <v xml:space="preserve">  RFA 2023-106</v>
      </c>
      <c r="X11" s="28" t="str">
        <f>$X$3</f>
        <v xml:space="preserve">  RFA 2023-106SF</v>
      </c>
      <c r="Y11" s="28" t="str">
        <f>$Y$3</f>
        <v xml:space="preserve">  RFA 2023-108</v>
      </c>
      <c r="Z11" s="167" t="str">
        <f>$Z$3</f>
        <v xml:space="preserve">  RFA 2023-201</v>
      </c>
      <c r="AA11" s="167" t="str">
        <f>$AA$3</f>
        <v xml:space="preserve">  RFA 2023-202</v>
      </c>
      <c r="AB11" s="167" t="str">
        <f>$AB$3</f>
        <v xml:space="preserve">  RFA 2023-202SF</v>
      </c>
      <c r="AC11" s="167" t="str">
        <f>$AC$3</f>
        <v xml:space="preserve">  RFA 2023-203SF</v>
      </c>
      <c r="AD11" s="167" t="s">
        <v>267</v>
      </c>
      <c r="AE11" s="167" t="s">
        <v>268</v>
      </c>
      <c r="AF11" s="167" t="str">
        <f>$AF$3</f>
        <v xml:space="preserve">  RFA 2023-205</v>
      </c>
      <c r="AG11" s="167" t="str">
        <f>$AG$3</f>
        <v xml:space="preserve">  RFA 2023-205SF</v>
      </c>
      <c r="AH11" s="214" t="str">
        <f>$AH$3</f>
        <v xml:space="preserve">  RFA 2023-211</v>
      </c>
      <c r="AI11" s="167" t="str">
        <f>$AI$3</f>
        <v xml:space="preserve">  RFA 2023-212</v>
      </c>
      <c r="AJ11" s="167" t="str">
        <f>$AJ$3</f>
        <v xml:space="preserve">  RFA 2023-213</v>
      </c>
      <c r="AK11" s="167" t="str">
        <f>AK$3</f>
        <v xml:space="preserve">  RFA 2023-213SF</v>
      </c>
      <c r="AL11" s="214" t="str">
        <f>$AL$3</f>
        <v xml:space="preserve">  RFA 2023-304</v>
      </c>
      <c r="AM11" s="167" t="str">
        <f>$AM$3</f>
        <v xml:space="preserve">  RFA 2024-102</v>
      </c>
      <c r="AN11" s="167" t="str">
        <f>$AN$3</f>
        <v xml:space="preserve">  RFA 2024-102SF</v>
      </c>
      <c r="AO11" s="167" t="str">
        <f>$AO$3</f>
        <v xml:space="preserve">  RFA 2024-103</v>
      </c>
      <c r="AP11" s="167" t="str">
        <f>$AP$3</f>
        <v xml:space="preserve">  RFA 2024-103SF</v>
      </c>
      <c r="AQ11" s="167" t="str">
        <f>$AQ$3</f>
        <v xml:space="preserve">  RFA 2024-104</v>
      </c>
      <c r="AR11" s="167" t="str">
        <f>$AR$3</f>
        <v xml:space="preserve">  RFA 2024-104SF</v>
      </c>
      <c r="AS11" s="167" t="str">
        <f>$AS$3</f>
        <v xml:space="preserve">  RFA 2024-105</v>
      </c>
      <c r="AT11" s="167" t="str">
        <f t="shared" ref="AT11:BC11" si="8">AT3</f>
        <v xml:space="preserve">  RFA 2024-106</v>
      </c>
      <c r="AU11" s="167" t="str">
        <f t="shared" si="8"/>
        <v xml:space="preserve">  RFA 2024-106SF</v>
      </c>
      <c r="AV11" s="167" t="str">
        <f t="shared" si="8"/>
        <v xml:space="preserve">  RFA 2024-201</v>
      </c>
      <c r="AW11" s="167" t="str">
        <f t="shared" si="8"/>
        <v xml:space="preserve">  RFA 2024-202</v>
      </c>
      <c r="AX11" s="167" t="str">
        <f t="shared" si="8"/>
        <v xml:space="preserve">  RFA 2024-202SF</v>
      </c>
      <c r="AY11" s="167" t="str">
        <f t="shared" si="8"/>
        <v xml:space="preserve">  RFA 2024-203</v>
      </c>
      <c r="AZ11" s="167" t="str">
        <f t="shared" si="8"/>
        <v xml:space="preserve">  RFA 2024-204</v>
      </c>
      <c r="BA11" s="167" t="str">
        <f t="shared" si="8"/>
        <v xml:space="preserve">  RFA 2024-204SF</v>
      </c>
      <c r="BB11" s="167" t="str">
        <f t="shared" si="8"/>
        <v xml:space="preserve">  RFA 2024-205</v>
      </c>
      <c r="BC11" s="167" t="str">
        <f t="shared" si="8"/>
        <v xml:space="preserve">  RFA 2024-205SF</v>
      </c>
      <c r="BD11" s="167" t="str">
        <f>$BD$3</f>
        <v xml:space="preserve">  RFA 2024-206</v>
      </c>
      <c r="BE11" s="167" t="str">
        <f t="shared" ref="BE11:BY11" si="9">BE3</f>
        <v xml:space="preserve">  RFA 2024-206SF</v>
      </c>
      <c r="BF11" s="167" t="str">
        <f>$BF$3</f>
        <v xml:space="preserve">  RFA 2024-213</v>
      </c>
      <c r="BG11" s="167" t="str">
        <f>$BG$3</f>
        <v xml:space="preserve">  RFA 2024-213SF</v>
      </c>
      <c r="BH11" s="167" t="str">
        <f t="shared" si="9"/>
        <v xml:space="preserve">  RFA 2024-214</v>
      </c>
      <c r="BI11" s="167" t="str">
        <f t="shared" si="9"/>
        <v xml:space="preserve">  RFA 2024-214SF</v>
      </c>
      <c r="BJ11" s="167" t="str">
        <f t="shared" si="9"/>
        <v xml:space="preserve">  RFA 2024-215</v>
      </c>
      <c r="BK11" s="167" t="str">
        <f t="shared" si="9"/>
        <v xml:space="preserve">  RFA 2024-215SF</v>
      </c>
      <c r="BL11" s="167" t="str">
        <f t="shared" si="9"/>
        <v xml:space="preserve">  RFA 2024-216</v>
      </c>
      <c r="BM11" s="167" t="str">
        <f t="shared" si="9"/>
        <v xml:space="preserve">  RFA 2024-216SF</v>
      </c>
      <c r="BN11" s="167" t="str">
        <f t="shared" si="9"/>
        <v xml:space="preserve">  RFA 2024-305</v>
      </c>
      <c r="BO11" s="167" t="str">
        <f t="shared" si="9"/>
        <v xml:space="preserve">  RFA 2024-305SF</v>
      </c>
      <c r="BP11" s="167" t="str">
        <f t="shared" si="9"/>
        <v xml:space="preserve">  RFA 2024-306</v>
      </c>
      <c r="BQ11" s="167" t="str">
        <f t="shared" ref="BQ11:BW11" si="10">BQ3</f>
        <v xml:space="preserve">  RFA 2024-306SF</v>
      </c>
      <c r="BR11" s="167" t="str">
        <f t="shared" si="9"/>
        <v xml:space="preserve">  RFA 2025-102</v>
      </c>
      <c r="BS11" s="167" t="str">
        <f t="shared" si="10"/>
        <v xml:space="preserve">  RFA 2025-102SF</v>
      </c>
      <c r="BT11" s="167" t="str">
        <f t="shared" si="9"/>
        <v xml:space="preserve">  RFA 2025-103</v>
      </c>
      <c r="BU11" s="167" t="str">
        <f t="shared" si="10"/>
        <v xml:space="preserve">  RFA 2025-103SF</v>
      </c>
      <c r="BV11" s="167" t="str">
        <f t="shared" si="9"/>
        <v xml:space="preserve">  RFA 2025-104</v>
      </c>
      <c r="BW11" s="167" t="str">
        <f t="shared" si="10"/>
        <v xml:space="preserve">  RFA 2025-104SF</v>
      </c>
      <c r="BX11" s="167" t="str">
        <f t="shared" si="9"/>
        <v xml:space="preserve">  RFA 2025-106</v>
      </c>
      <c r="BY11" s="167" t="str">
        <f t="shared" si="9"/>
        <v xml:space="preserve">  RFA 2025-106SF</v>
      </c>
      <c r="BZ11" s="167" t="str">
        <f>$BZ$3</f>
        <v xml:space="preserve">  RFA 2025-108</v>
      </c>
      <c r="CA11" s="167" t="str">
        <f>$CA$3</f>
        <v xml:space="preserve">  RFA 2025-108SF</v>
      </c>
      <c r="CB11" s="167" t="str">
        <f t="shared" ref="CB11:CI11" si="11">CB3</f>
        <v xml:space="preserve">  RFA 2025-201</v>
      </c>
      <c r="CC11" s="167" t="str">
        <f t="shared" si="11"/>
        <v xml:space="preserve">  RFA 2025-202</v>
      </c>
      <c r="CD11" s="167" t="str">
        <f t="shared" si="11"/>
        <v xml:space="preserve">  RFA 2025-202SF</v>
      </c>
      <c r="CE11" s="167" t="str">
        <f t="shared" si="11"/>
        <v xml:space="preserve">  RFA 2025-203</v>
      </c>
      <c r="CF11" s="167" t="str">
        <f t="shared" si="11"/>
        <v xml:space="preserve">  RFA 2025-204</v>
      </c>
      <c r="CG11" s="167" t="str">
        <f t="shared" si="11"/>
        <v xml:space="preserve">  RFA 2025-204SF</v>
      </c>
      <c r="CH11" s="167" t="str">
        <f t="shared" si="11"/>
        <v xml:space="preserve">  RFA 2025-205</v>
      </c>
      <c r="CI11" s="167" t="str">
        <f t="shared" si="11"/>
        <v xml:space="preserve">  RFA 2025-205SF</v>
      </c>
      <c r="CJ11" s="167" t="str">
        <f t="shared" ref="CJ11:CK11" si="12">CJ3</f>
        <v xml:space="preserve">  RFA 2025-206</v>
      </c>
      <c r="CK11" s="167" t="str">
        <f t="shared" si="12"/>
        <v xml:space="preserve">  RFA 2025-206SF</v>
      </c>
      <c r="CL11" s="167" t="str">
        <f>CL7</f>
        <v xml:space="preserve">  RFA 2025-212</v>
      </c>
      <c r="CM11" s="167" t="str">
        <f>CM7</f>
        <v xml:space="preserve">  RFA 2025-212SF</v>
      </c>
      <c r="CN11" s="167" t="str">
        <f>CN7</f>
        <v xml:space="preserve">  RFA 2025-213</v>
      </c>
      <c r="CO11" s="167" t="str">
        <f>CO7</f>
        <v xml:space="preserve">  RFA 2025-213SF</v>
      </c>
      <c r="CP11" s="167" t="str">
        <f t="shared" ref="CP11:CY11" si="13">CP3</f>
        <v xml:space="preserve">  RFA 2025-214</v>
      </c>
      <c r="CQ11" s="167" t="str">
        <f t="shared" si="13"/>
        <v xml:space="preserve">  RFA 2025-214SF</v>
      </c>
      <c r="CR11" s="167" t="str">
        <f t="shared" si="13"/>
        <v xml:space="preserve">  RFA 2025-215</v>
      </c>
      <c r="CS11" s="167" t="str">
        <f t="shared" si="13"/>
        <v xml:space="preserve">  RFA 2025-215SF</v>
      </c>
      <c r="CT11" s="167" t="str">
        <f>CT3</f>
        <v xml:space="preserve">  RFA 2025-216</v>
      </c>
      <c r="CU11" s="167" t="str">
        <f>CU3</f>
        <v xml:space="preserve">  RFA 2025-216SF</v>
      </c>
      <c r="CV11" s="167" t="str">
        <f t="shared" si="13"/>
        <v xml:space="preserve">  RFA 2026-102</v>
      </c>
      <c r="CW11" s="167" t="str">
        <f t="shared" si="13"/>
        <v xml:space="preserve">  RFA 2026-102SF</v>
      </c>
      <c r="CX11" s="167" t="str">
        <f t="shared" si="13"/>
        <v xml:space="preserve">  RFA 2026-103</v>
      </c>
      <c r="CY11" s="167" t="str">
        <f t="shared" si="13"/>
        <v xml:space="preserve">  RFA 2026-103SF</v>
      </c>
      <c r="CZ11" s="167" t="str">
        <f t="shared" ref="CZ11:DA11" si="14">CZ7</f>
        <v xml:space="preserve">  RFA 2026-104</v>
      </c>
      <c r="DA11" s="167" t="str">
        <f t="shared" si="14"/>
        <v xml:space="preserve">  RFA 2026-104SF</v>
      </c>
      <c r="DB11" s="167" t="str">
        <f>DB7</f>
        <v xml:space="preserve">  RFA 2026-105</v>
      </c>
      <c r="DC11" s="167" t="str">
        <f t="shared" ref="DC11" si="15">DC3</f>
        <v xml:space="preserve">  RFA 2026-106</v>
      </c>
      <c r="DD11" s="167" t="str">
        <f t="shared" ref="DD11:DJ11" si="16">DD7</f>
        <v xml:space="preserve">  RFA 2026-106SF</v>
      </c>
      <c r="DE11" s="167" t="str">
        <f>$DE$3</f>
        <v xml:space="preserve">  RFA 2026-108</v>
      </c>
      <c r="DF11" s="167" t="str">
        <f>$DF$3</f>
        <v xml:space="preserve">  RFA 2026-108SF</v>
      </c>
      <c r="DG11" s="167" t="str">
        <f t="shared" si="16"/>
        <v xml:space="preserve">  RFA 2026-201</v>
      </c>
      <c r="DH11" s="167" t="str">
        <f t="shared" si="16"/>
        <v xml:space="preserve">  RFA 2026-202</v>
      </c>
      <c r="DI11" s="167" t="str">
        <f t="shared" si="16"/>
        <v xml:space="preserve">  RFA 2026-202SF</v>
      </c>
      <c r="DJ11" s="167" t="str">
        <f t="shared" si="16"/>
        <v xml:space="preserve">  RFA 2026-203</v>
      </c>
      <c r="DK11" s="167" t="str">
        <f t="shared" ref="DK11:DL11" si="17">DK3</f>
        <v xml:space="preserve">  RFA 2026-204</v>
      </c>
      <c r="DL11" s="167" t="str">
        <f t="shared" si="17"/>
        <v xml:space="preserve">  RFA 2026-204SF</v>
      </c>
      <c r="DM11" s="167" t="s">
        <v>422</v>
      </c>
      <c r="DN11" s="167" t="s">
        <v>423</v>
      </c>
      <c r="DO11" s="167" t="str">
        <f t="shared" ref="DO11:DV11" si="18">DO3</f>
        <v xml:space="preserve">  RFA 2026-206</v>
      </c>
      <c r="DP11" s="167" t="str">
        <f t="shared" si="18"/>
        <v xml:space="preserve">  RFA 2026-206SF</v>
      </c>
      <c r="DQ11" s="167" t="str">
        <f t="shared" si="18"/>
        <v xml:space="preserve">  RFA 2026-212</v>
      </c>
      <c r="DR11" s="167" t="str">
        <f t="shared" si="18"/>
        <v xml:space="preserve">  RFA 2026-212SF</v>
      </c>
      <c r="DS11" s="167" t="str">
        <f t="shared" si="18"/>
        <v xml:space="preserve">  RFA 2026-216</v>
      </c>
      <c r="DT11" s="167" t="str">
        <f t="shared" si="18"/>
        <v xml:space="preserve">  RFA 2026-216SF</v>
      </c>
      <c r="DU11" s="167" t="str">
        <f t="shared" si="18"/>
        <v xml:space="preserve">  RFA 2026-218</v>
      </c>
      <c r="DV11" s="167" t="str">
        <f t="shared" si="18"/>
        <v xml:space="preserve">  RFA 2026-218SF</v>
      </c>
      <c r="DW11" s="167" t="str">
        <f>$DW$3</f>
        <v xml:space="preserve">  RFA 2027-103</v>
      </c>
      <c r="DX11" s="167" t="str">
        <f>$DX$3</f>
        <v xml:space="preserve">  RFA 2027-103SF</v>
      </c>
      <c r="DY11" s="167" t="str">
        <f>$DY$3</f>
        <v xml:space="preserve">  RFA 2027-106</v>
      </c>
      <c r="DZ11" s="167" t="str">
        <f>$DZ$3</f>
        <v xml:space="preserve">  RFA 2027-106SF</v>
      </c>
      <c r="EG11" t="s">
        <v>134</v>
      </c>
      <c r="EH11" s="41">
        <v>240000</v>
      </c>
      <c r="EI11" s="41">
        <v>260000</v>
      </c>
      <c r="EJ11" s="41">
        <v>258000</v>
      </c>
      <c r="EK11" s="41">
        <v>283000</v>
      </c>
      <c r="EL11" s="41">
        <v>275000</v>
      </c>
      <c r="EM11" s="41">
        <v>300000</v>
      </c>
      <c r="EN11" s="41">
        <v>284000</v>
      </c>
      <c r="EO11" s="41">
        <v>312000</v>
      </c>
    </row>
    <row r="12" spans="1:145" x14ac:dyDescent="0.25">
      <c r="B12" t="s">
        <v>2</v>
      </c>
      <c r="C12" s="19" t="s">
        <v>2</v>
      </c>
      <c r="D12" s="20" t="s">
        <v>2</v>
      </c>
      <c r="E12" s="20" t="s">
        <v>2</v>
      </c>
      <c r="F12" s="20" t="s">
        <v>2</v>
      </c>
      <c r="G12" s="20" t="s">
        <v>2</v>
      </c>
      <c r="H12" s="20" t="s">
        <v>2</v>
      </c>
      <c r="I12" s="20" t="s">
        <v>2</v>
      </c>
      <c r="J12" s="58" t="s">
        <v>437</v>
      </c>
      <c r="K12" s="58" t="s">
        <v>373</v>
      </c>
      <c r="L12" s="58" t="s">
        <v>326</v>
      </c>
      <c r="M12" s="211" t="s">
        <v>261</v>
      </c>
      <c r="O12" s="335"/>
      <c r="P12" s="14" t="s">
        <v>2</v>
      </c>
      <c r="Q12" s="14" t="s">
        <v>2</v>
      </c>
      <c r="R12" s="14" t="s">
        <v>2</v>
      </c>
      <c r="S12" s="14" t="s">
        <v>2</v>
      </c>
      <c r="T12" s="14" t="s">
        <v>2</v>
      </c>
      <c r="U12" s="14" t="s">
        <v>2</v>
      </c>
      <c r="V12" s="14" t="s">
        <v>2</v>
      </c>
      <c r="W12" s="14" t="s">
        <v>2</v>
      </c>
      <c r="X12" s="14" t="s">
        <v>2</v>
      </c>
      <c r="Y12" s="14" t="s">
        <v>2</v>
      </c>
      <c r="Z12" t="s">
        <v>273</v>
      </c>
      <c r="AA12" t="s">
        <v>273</v>
      </c>
      <c r="AB12" t="s">
        <v>273</v>
      </c>
      <c r="AC12" t="s">
        <v>273</v>
      </c>
      <c r="AD12" t="s">
        <v>135</v>
      </c>
      <c r="AE12" t="s">
        <v>7</v>
      </c>
      <c r="AF12" t="s">
        <v>273</v>
      </c>
      <c r="AG12" t="s">
        <v>273</v>
      </c>
      <c r="AH12" s="14" t="s">
        <v>2</v>
      </c>
      <c r="AI12" t="s">
        <v>273</v>
      </c>
      <c r="AJ12" t="s">
        <v>273</v>
      </c>
      <c r="AK12" t="s">
        <v>273</v>
      </c>
      <c r="AL12" s="14" t="s">
        <v>2</v>
      </c>
      <c r="AM12" t="s">
        <v>135</v>
      </c>
      <c r="AN12" t="s">
        <v>5</v>
      </c>
      <c r="AO12" t="s">
        <v>273</v>
      </c>
      <c r="AP12" t="s">
        <v>273</v>
      </c>
      <c r="AQ12" t="s">
        <v>135</v>
      </c>
      <c r="AR12" s="14" t="s">
        <v>2</v>
      </c>
      <c r="AS12" s="14" t="s">
        <v>2</v>
      </c>
      <c r="AT12" t="s">
        <v>273</v>
      </c>
      <c r="AU12" t="s">
        <v>273</v>
      </c>
      <c r="AV12" t="s">
        <v>342</v>
      </c>
      <c r="AW12" t="s">
        <v>342</v>
      </c>
      <c r="AX12" t="s">
        <v>342</v>
      </c>
      <c r="AY12" t="s">
        <v>342</v>
      </c>
      <c r="AZ12" t="s">
        <v>340</v>
      </c>
      <c r="BA12" t="s">
        <v>354</v>
      </c>
      <c r="BB12" t="s">
        <v>342</v>
      </c>
      <c r="BC12" t="s">
        <v>342</v>
      </c>
      <c r="BD12" t="s">
        <v>135</v>
      </c>
      <c r="BE12" s="14" t="s">
        <v>2</v>
      </c>
      <c r="BF12" t="s">
        <v>342</v>
      </c>
      <c r="BG12" t="s">
        <v>342</v>
      </c>
      <c r="BH12" t="s">
        <v>7</v>
      </c>
      <c r="BI12" t="s">
        <v>7</v>
      </c>
      <c r="BJ12" t="s">
        <v>342</v>
      </c>
      <c r="BK12" t="s">
        <v>342</v>
      </c>
      <c r="BL12" t="s">
        <v>135</v>
      </c>
      <c r="BM12" t="s">
        <v>340</v>
      </c>
      <c r="BN12" t="s">
        <v>135</v>
      </c>
      <c r="BO12" s="14" t="s">
        <v>2</v>
      </c>
      <c r="BP12" t="s">
        <v>342</v>
      </c>
      <c r="BQ12" t="s">
        <v>342</v>
      </c>
      <c r="BR12" t="s">
        <v>340</v>
      </c>
      <c r="BS12" t="s">
        <v>340</v>
      </c>
      <c r="BT12" t="s">
        <v>340</v>
      </c>
      <c r="BU12" t="s">
        <v>340</v>
      </c>
      <c r="BV12" t="s">
        <v>340</v>
      </c>
      <c r="BW12" t="s">
        <v>340</v>
      </c>
      <c r="BX12" t="s">
        <v>340</v>
      </c>
      <c r="BY12" t="s">
        <v>340</v>
      </c>
      <c r="BZ12" t="s">
        <v>340</v>
      </c>
      <c r="CA12" t="s">
        <v>340</v>
      </c>
      <c r="CB12" t="s">
        <v>342</v>
      </c>
      <c r="CC12" t="s">
        <v>342</v>
      </c>
      <c r="CD12" t="s">
        <v>342</v>
      </c>
      <c r="CE12" t="s">
        <v>342</v>
      </c>
      <c r="CF12" t="s">
        <v>340</v>
      </c>
      <c r="CG12" t="s">
        <v>354</v>
      </c>
      <c r="CH12" t="s">
        <v>354</v>
      </c>
      <c r="CI12" t="s">
        <v>340</v>
      </c>
      <c r="CJ12" t="s">
        <v>340</v>
      </c>
      <c r="CK12" t="s">
        <v>340</v>
      </c>
      <c r="CL12" t="s">
        <v>340</v>
      </c>
      <c r="CM12" t="s">
        <v>340</v>
      </c>
      <c r="CN12" t="s">
        <v>340</v>
      </c>
      <c r="CO12" t="s">
        <v>340</v>
      </c>
      <c r="CP12" t="s">
        <v>354</v>
      </c>
      <c r="CQ12" t="s">
        <v>340</v>
      </c>
      <c r="CR12" t="s">
        <v>340</v>
      </c>
      <c r="CS12" t="s">
        <v>340</v>
      </c>
      <c r="CT12" t="s">
        <v>340</v>
      </c>
      <c r="CU12" t="s">
        <v>340</v>
      </c>
      <c r="CV12" t="s">
        <v>342</v>
      </c>
      <c r="CW12" t="s">
        <v>342</v>
      </c>
      <c r="CX12" t="s">
        <v>342</v>
      </c>
      <c r="CY12" t="s">
        <v>342</v>
      </c>
      <c r="CZ12" t="s">
        <v>342</v>
      </c>
      <c r="DA12" t="s">
        <v>342</v>
      </c>
      <c r="DB12" s="14" t="s">
        <v>2</v>
      </c>
      <c r="DC12" t="s">
        <v>342</v>
      </c>
      <c r="DD12" t="s">
        <v>342</v>
      </c>
      <c r="DE12" t="s">
        <v>340</v>
      </c>
      <c r="DF12" t="s">
        <v>340</v>
      </c>
      <c r="DG12" t="s">
        <v>342</v>
      </c>
      <c r="DH12" t="s">
        <v>342</v>
      </c>
      <c r="DI12" t="s">
        <v>342</v>
      </c>
      <c r="DJ12" t="s">
        <v>342</v>
      </c>
      <c r="DK12" t="s">
        <v>342</v>
      </c>
      <c r="DL12" t="s">
        <v>342</v>
      </c>
      <c r="DM12" t="s">
        <v>342</v>
      </c>
      <c r="DN12" t="s">
        <v>342</v>
      </c>
      <c r="DO12" t="s">
        <v>341</v>
      </c>
      <c r="DP12" t="s">
        <v>341</v>
      </c>
      <c r="DQ12" t="s">
        <v>342</v>
      </c>
      <c r="DR12" t="s">
        <v>342</v>
      </c>
      <c r="DS12" t="s">
        <v>342</v>
      </c>
      <c r="DT12" t="s">
        <v>342</v>
      </c>
      <c r="DU12" t="s">
        <v>419</v>
      </c>
      <c r="DV12" t="s">
        <v>419</v>
      </c>
      <c r="DW12" t="s">
        <v>342</v>
      </c>
      <c r="DX12" t="s">
        <v>342</v>
      </c>
      <c r="DY12" t="s">
        <v>342</v>
      </c>
      <c r="DZ12" t="s">
        <v>342</v>
      </c>
      <c r="EA12" t="s">
        <v>2</v>
      </c>
      <c r="EG12" t="s">
        <v>174</v>
      </c>
      <c r="EH12" s="41">
        <v>270000</v>
      </c>
      <c r="EI12" s="41">
        <v>290000</v>
      </c>
      <c r="EJ12" s="41">
        <v>285000</v>
      </c>
      <c r="EK12" s="41">
        <v>310000</v>
      </c>
      <c r="EL12" s="41">
        <v>302000</v>
      </c>
      <c r="EM12" s="41">
        <v>330000</v>
      </c>
      <c r="EN12" s="41">
        <v>311000</v>
      </c>
      <c r="EO12" s="41">
        <v>339000</v>
      </c>
    </row>
    <row r="13" spans="1:145" x14ac:dyDescent="0.25">
      <c r="A13" s="9" t="s">
        <v>1</v>
      </c>
      <c r="B13" t="s">
        <v>2</v>
      </c>
      <c r="C13" s="19" t="s">
        <v>2</v>
      </c>
      <c r="D13" s="20" t="s">
        <v>2</v>
      </c>
      <c r="E13" s="20" t="s">
        <v>2</v>
      </c>
      <c r="F13" s="20" t="s">
        <v>2</v>
      </c>
      <c r="G13" s="20" t="s">
        <v>2</v>
      </c>
      <c r="H13" s="20" t="s">
        <v>2</v>
      </c>
      <c r="I13" s="20" t="s">
        <v>2</v>
      </c>
      <c r="J13" s="58" t="s">
        <v>422</v>
      </c>
      <c r="K13" s="58" t="s">
        <v>355</v>
      </c>
      <c r="L13" s="58" t="s">
        <v>307</v>
      </c>
      <c r="M13" s="211" t="s">
        <v>156</v>
      </c>
      <c r="O13" s="335"/>
      <c r="P13" s="14" t="s">
        <v>2</v>
      </c>
      <c r="Q13" s="14" t="s">
        <v>2</v>
      </c>
      <c r="R13" s="14" t="s">
        <v>2</v>
      </c>
      <c r="S13" s="14" t="s">
        <v>2</v>
      </c>
      <c r="T13" s="14" t="s">
        <v>2</v>
      </c>
      <c r="U13" s="14" t="s">
        <v>2</v>
      </c>
      <c r="V13" s="14" t="s">
        <v>2</v>
      </c>
      <c r="W13" s="14" t="s">
        <v>2</v>
      </c>
      <c r="X13" s="14" t="s">
        <v>2</v>
      </c>
      <c r="Y13" s="14" t="s">
        <v>2</v>
      </c>
      <c r="Z13" t="s">
        <v>270</v>
      </c>
      <c r="AA13" t="s">
        <v>270</v>
      </c>
      <c r="AB13" t="s">
        <v>270</v>
      </c>
      <c r="AC13" t="s">
        <v>270</v>
      </c>
      <c r="AD13" t="s">
        <v>6</v>
      </c>
      <c r="AE13" s="14" t="s">
        <v>2</v>
      </c>
      <c r="AF13" t="s">
        <v>270</v>
      </c>
      <c r="AG13" t="s">
        <v>270</v>
      </c>
      <c r="AH13" s="14" t="s">
        <v>2</v>
      </c>
      <c r="AI13" t="s">
        <v>270</v>
      </c>
      <c r="AJ13" t="s">
        <v>270</v>
      </c>
      <c r="AK13" t="s">
        <v>270</v>
      </c>
      <c r="AL13" s="14" t="s">
        <v>2</v>
      </c>
      <c r="AM13" t="s">
        <v>6</v>
      </c>
      <c r="AN13" s="14" t="s">
        <v>2</v>
      </c>
      <c r="AO13" t="s">
        <v>270</v>
      </c>
      <c r="AP13" t="s">
        <v>270</v>
      </c>
      <c r="AQ13" t="s">
        <v>6</v>
      </c>
      <c r="AR13" s="14" t="s">
        <v>2</v>
      </c>
      <c r="AS13" s="14" t="s">
        <v>2</v>
      </c>
      <c r="AT13" t="s">
        <v>270</v>
      </c>
      <c r="AU13" t="s">
        <v>270</v>
      </c>
      <c r="AV13" t="s">
        <v>341</v>
      </c>
      <c r="AW13" t="s">
        <v>341</v>
      </c>
      <c r="AX13" t="s">
        <v>341</v>
      </c>
      <c r="AY13" t="s">
        <v>341</v>
      </c>
      <c r="AZ13" s="14" t="s">
        <v>2</v>
      </c>
      <c r="BA13" s="14" t="s">
        <v>2</v>
      </c>
      <c r="BB13" t="s">
        <v>341</v>
      </c>
      <c r="BC13" t="s">
        <v>341</v>
      </c>
      <c r="BD13" t="s">
        <v>6</v>
      </c>
      <c r="BE13" s="14" t="s">
        <v>2</v>
      </c>
      <c r="BF13" t="s">
        <v>341</v>
      </c>
      <c r="BG13" t="s">
        <v>341</v>
      </c>
      <c r="BH13" t="s">
        <v>135</v>
      </c>
      <c r="BI13" s="14" t="s">
        <v>2</v>
      </c>
      <c r="BJ13" t="s">
        <v>341</v>
      </c>
      <c r="BK13" t="s">
        <v>341</v>
      </c>
      <c r="BL13" t="s">
        <v>6</v>
      </c>
      <c r="BM13" s="14" t="s">
        <v>2</v>
      </c>
      <c r="BN13" t="s">
        <v>6</v>
      </c>
      <c r="BO13" s="14" t="s">
        <v>2</v>
      </c>
      <c r="BP13" t="s">
        <v>341</v>
      </c>
      <c r="BQ13" t="s">
        <v>341</v>
      </c>
      <c r="BR13" s="14" t="s">
        <v>2</v>
      </c>
      <c r="BS13" s="14" t="s">
        <v>2</v>
      </c>
      <c r="BT13" s="14" t="s">
        <v>2</v>
      </c>
      <c r="BU13" s="14" t="s">
        <v>2</v>
      </c>
      <c r="BV13" s="14" t="s">
        <v>2</v>
      </c>
      <c r="BW13" s="14" t="s">
        <v>2</v>
      </c>
      <c r="BX13" s="14" t="s">
        <v>2</v>
      </c>
      <c r="BY13" s="14" t="s">
        <v>2</v>
      </c>
      <c r="BZ13" s="14" t="s">
        <v>2</v>
      </c>
      <c r="CA13" s="14" t="s">
        <v>2</v>
      </c>
      <c r="CB13" t="s">
        <v>341</v>
      </c>
      <c r="CC13" t="s">
        <v>341</v>
      </c>
      <c r="CD13" t="s">
        <v>341</v>
      </c>
      <c r="CE13" t="s">
        <v>341</v>
      </c>
      <c r="CF13" s="14" t="s">
        <v>2</v>
      </c>
      <c r="CG13" s="14" t="s">
        <v>2</v>
      </c>
      <c r="CH13" s="14" t="s">
        <v>2</v>
      </c>
      <c r="CI13" s="14" t="s">
        <v>2</v>
      </c>
      <c r="CJ13" s="14" t="s">
        <v>2</v>
      </c>
      <c r="CK13" s="14" t="s">
        <v>2</v>
      </c>
      <c r="CL13" s="14" t="s">
        <v>2</v>
      </c>
      <c r="CM13" s="14" t="s">
        <v>2</v>
      </c>
      <c r="CN13" s="14" t="s">
        <v>2</v>
      </c>
      <c r="CO13" s="14" t="s">
        <v>2</v>
      </c>
      <c r="CP13" s="14" t="s">
        <v>2</v>
      </c>
      <c r="CQ13" s="14" t="s">
        <v>2</v>
      </c>
      <c r="CR13" s="14" t="s">
        <v>2</v>
      </c>
      <c r="CS13" s="14" t="s">
        <v>2</v>
      </c>
      <c r="CT13" s="14" t="s">
        <v>2</v>
      </c>
      <c r="CU13" s="14" t="s">
        <v>2</v>
      </c>
      <c r="CV13" t="s">
        <v>341</v>
      </c>
      <c r="CW13" t="s">
        <v>341</v>
      </c>
      <c r="CX13" t="s">
        <v>341</v>
      </c>
      <c r="CY13" t="s">
        <v>341</v>
      </c>
      <c r="CZ13" t="s">
        <v>341</v>
      </c>
      <c r="DA13" t="s">
        <v>341</v>
      </c>
      <c r="DB13" s="14" t="s">
        <v>2</v>
      </c>
      <c r="DC13" t="s">
        <v>341</v>
      </c>
      <c r="DD13" t="s">
        <v>341</v>
      </c>
      <c r="DE13" s="14" t="s">
        <v>2</v>
      </c>
      <c r="DF13" s="14" t="s">
        <v>2</v>
      </c>
      <c r="DG13" t="s">
        <v>341</v>
      </c>
      <c r="DH13" t="s">
        <v>341</v>
      </c>
      <c r="DI13" t="s">
        <v>341</v>
      </c>
      <c r="DJ13" t="s">
        <v>341</v>
      </c>
      <c r="DK13" t="s">
        <v>341</v>
      </c>
      <c r="DL13" t="s">
        <v>341</v>
      </c>
      <c r="DM13" t="s">
        <v>341</v>
      </c>
      <c r="DN13" t="s">
        <v>341</v>
      </c>
      <c r="DO13" s="14" t="s">
        <v>2</v>
      </c>
      <c r="DP13" s="14" t="s">
        <v>2</v>
      </c>
      <c r="DQ13" t="s">
        <v>341</v>
      </c>
      <c r="DR13" t="s">
        <v>341</v>
      </c>
      <c r="DS13" t="s">
        <v>341</v>
      </c>
      <c r="DT13" t="s">
        <v>341</v>
      </c>
      <c r="DU13" s="14" t="s">
        <v>2</v>
      </c>
      <c r="DV13" s="14" t="s">
        <v>2</v>
      </c>
      <c r="DW13" t="s">
        <v>341</v>
      </c>
      <c r="DX13" t="s">
        <v>341</v>
      </c>
      <c r="DY13" t="s">
        <v>341</v>
      </c>
      <c r="DZ13" t="s">
        <v>341</v>
      </c>
      <c r="EA13" t="s">
        <v>2</v>
      </c>
      <c r="EG13" t="s">
        <v>84</v>
      </c>
      <c r="EH13" s="41">
        <v>290000</v>
      </c>
      <c r="EI13" s="41">
        <v>310000</v>
      </c>
      <c r="EJ13" s="41">
        <v>310000</v>
      </c>
      <c r="EK13" s="41">
        <v>335000</v>
      </c>
      <c r="EL13" s="41">
        <v>330000</v>
      </c>
      <c r="EM13" s="41">
        <v>355000</v>
      </c>
      <c r="EN13" s="41">
        <v>338000</v>
      </c>
      <c r="EO13" s="41">
        <v>366000</v>
      </c>
    </row>
    <row r="14" spans="1:145" x14ac:dyDescent="0.25">
      <c r="A14" s="11" t="s">
        <v>15</v>
      </c>
      <c r="B14" t="s">
        <v>2</v>
      </c>
      <c r="C14" s="19" t="s">
        <v>2</v>
      </c>
      <c r="D14" s="20" t="s">
        <v>2</v>
      </c>
      <c r="E14" s="20" t="s">
        <v>2</v>
      </c>
      <c r="F14" s="20" t="s">
        <v>2</v>
      </c>
      <c r="G14" s="20" t="s">
        <v>2</v>
      </c>
      <c r="H14" s="20" t="s">
        <v>2</v>
      </c>
      <c r="I14" s="20" t="s">
        <v>2</v>
      </c>
      <c r="J14" s="58" t="s">
        <v>401</v>
      </c>
      <c r="K14" s="58" t="s">
        <v>385</v>
      </c>
      <c r="L14" s="58" t="s">
        <v>343</v>
      </c>
      <c r="M14" s="219" t="s">
        <v>197</v>
      </c>
      <c r="O14" s="335"/>
      <c r="P14" s="14" t="s">
        <v>2</v>
      </c>
      <c r="Q14" s="14" t="s">
        <v>2</v>
      </c>
      <c r="R14" s="14" t="s">
        <v>2</v>
      </c>
      <c r="S14" s="14" t="s">
        <v>2</v>
      </c>
      <c r="T14" s="14" t="s">
        <v>2</v>
      </c>
      <c r="U14" s="14" t="s">
        <v>2</v>
      </c>
      <c r="V14" s="14" t="s">
        <v>2</v>
      </c>
      <c r="W14" s="14" t="s">
        <v>2</v>
      </c>
      <c r="X14" s="14" t="s">
        <v>2</v>
      </c>
      <c r="Y14" s="14" t="s">
        <v>2</v>
      </c>
      <c r="Z14" t="s">
        <v>271</v>
      </c>
      <c r="AA14" t="s">
        <v>271</v>
      </c>
      <c r="AB14" t="s">
        <v>271</v>
      </c>
      <c r="AC14" t="s">
        <v>271</v>
      </c>
      <c r="AD14" t="s">
        <v>7</v>
      </c>
      <c r="AE14" s="14" t="s">
        <v>2</v>
      </c>
      <c r="AF14" t="s">
        <v>271</v>
      </c>
      <c r="AG14" t="s">
        <v>271</v>
      </c>
      <c r="AH14" s="14" t="s">
        <v>2</v>
      </c>
      <c r="AI14" t="s">
        <v>271</v>
      </c>
      <c r="AJ14" t="s">
        <v>271</v>
      </c>
      <c r="AK14" t="s">
        <v>271</v>
      </c>
      <c r="AL14" s="14" t="s">
        <v>2</v>
      </c>
      <c r="AM14" t="s">
        <v>5</v>
      </c>
      <c r="AN14" s="14" t="s">
        <v>2</v>
      </c>
      <c r="AO14" t="s">
        <v>271</v>
      </c>
      <c r="AP14" t="s">
        <v>271</v>
      </c>
      <c r="AQ14" s="14" t="s">
        <v>2</v>
      </c>
      <c r="AR14" s="14" t="s">
        <v>2</v>
      </c>
      <c r="AS14" s="14" t="s">
        <v>2</v>
      </c>
      <c r="AT14" t="s">
        <v>271</v>
      </c>
      <c r="AU14" t="s">
        <v>271</v>
      </c>
      <c r="AV14" t="s">
        <v>135</v>
      </c>
      <c r="AW14" t="s">
        <v>7</v>
      </c>
      <c r="AX14" t="s">
        <v>7</v>
      </c>
      <c r="AY14" t="s">
        <v>7</v>
      </c>
      <c r="AZ14" t="s">
        <v>135</v>
      </c>
      <c r="BA14" t="s">
        <v>7</v>
      </c>
      <c r="BB14" t="s">
        <v>135</v>
      </c>
      <c r="BC14" t="s">
        <v>7</v>
      </c>
      <c r="BD14" s="14" t="s">
        <v>2</v>
      </c>
      <c r="BE14" s="14" t="s">
        <v>2</v>
      </c>
      <c r="BF14" t="s">
        <v>135</v>
      </c>
      <c r="BG14" s="14" t="s">
        <v>2</v>
      </c>
      <c r="BH14" t="s">
        <v>6</v>
      </c>
      <c r="BI14" s="14" t="s">
        <v>2</v>
      </c>
      <c r="BJ14" t="s">
        <v>135</v>
      </c>
      <c r="BK14" s="14" t="s">
        <v>2</v>
      </c>
      <c r="BL14" t="s">
        <v>340</v>
      </c>
      <c r="BM14" s="14" t="s">
        <v>2</v>
      </c>
      <c r="BN14" s="14" t="s">
        <v>2</v>
      </c>
      <c r="BO14" s="14" t="s">
        <v>2</v>
      </c>
      <c r="BP14" s="14" t="s">
        <v>2</v>
      </c>
      <c r="BQ14" s="14" t="s">
        <v>2</v>
      </c>
      <c r="BR14" t="s">
        <v>135</v>
      </c>
      <c r="BS14" t="s">
        <v>5</v>
      </c>
      <c r="BT14" t="s">
        <v>271</v>
      </c>
      <c r="BU14" t="s">
        <v>271</v>
      </c>
      <c r="BV14" t="s">
        <v>135</v>
      </c>
      <c r="BW14" s="14" t="s">
        <v>2</v>
      </c>
      <c r="BX14" t="s">
        <v>271</v>
      </c>
      <c r="BY14" t="s">
        <v>271</v>
      </c>
      <c r="BZ14" t="s">
        <v>271</v>
      </c>
      <c r="CA14" t="s">
        <v>271</v>
      </c>
      <c r="CB14" t="s">
        <v>135</v>
      </c>
      <c r="CC14" t="s">
        <v>7</v>
      </c>
      <c r="CD14" t="s">
        <v>7</v>
      </c>
      <c r="CE14" t="s">
        <v>7</v>
      </c>
      <c r="CF14" t="s">
        <v>135</v>
      </c>
      <c r="CG14" t="s">
        <v>7</v>
      </c>
      <c r="CH14" t="s">
        <v>135</v>
      </c>
      <c r="CI14" t="s">
        <v>7</v>
      </c>
      <c r="CJ14" t="s">
        <v>135</v>
      </c>
      <c r="CK14" s="14" t="s">
        <v>2</v>
      </c>
      <c r="CL14" t="s">
        <v>135</v>
      </c>
      <c r="CM14" s="14" t="s">
        <v>2</v>
      </c>
      <c r="CN14" t="s">
        <v>135</v>
      </c>
      <c r="CO14" s="14" t="s">
        <v>2</v>
      </c>
      <c r="CP14" t="s">
        <v>135</v>
      </c>
      <c r="CQ14" t="s">
        <v>399</v>
      </c>
      <c r="CR14" t="s">
        <v>135</v>
      </c>
      <c r="CS14" s="14" t="s">
        <v>2</v>
      </c>
      <c r="CT14" t="s">
        <v>135</v>
      </c>
      <c r="CU14" s="14" t="s">
        <v>2</v>
      </c>
      <c r="CV14" t="s">
        <v>135</v>
      </c>
      <c r="CW14" t="s">
        <v>5</v>
      </c>
      <c r="CX14" t="s">
        <v>271</v>
      </c>
      <c r="CY14" t="s">
        <v>271</v>
      </c>
      <c r="CZ14" t="s">
        <v>135</v>
      </c>
      <c r="DA14" s="14" t="s">
        <v>2</v>
      </c>
      <c r="DB14" s="14" t="s">
        <v>2</v>
      </c>
      <c r="DC14" t="s">
        <v>271</v>
      </c>
      <c r="DD14" t="s">
        <v>271</v>
      </c>
      <c r="DE14" t="s">
        <v>135</v>
      </c>
      <c r="DF14" t="s">
        <v>135</v>
      </c>
      <c r="DG14" t="s">
        <v>135</v>
      </c>
      <c r="DH14" t="s">
        <v>7</v>
      </c>
      <c r="DI14" t="s">
        <v>7</v>
      </c>
      <c r="DJ14" t="s">
        <v>7</v>
      </c>
      <c r="DK14" t="s">
        <v>135</v>
      </c>
      <c r="DL14" t="s">
        <v>7</v>
      </c>
      <c r="DM14" t="s">
        <v>135</v>
      </c>
      <c r="DN14" t="s">
        <v>7</v>
      </c>
      <c r="DO14" t="s">
        <v>399</v>
      </c>
      <c r="DP14" t="s">
        <v>399</v>
      </c>
      <c r="DQ14" t="s">
        <v>135</v>
      </c>
      <c r="DR14" s="14" t="s">
        <v>2</v>
      </c>
      <c r="DS14" t="s">
        <v>135</v>
      </c>
      <c r="DT14" s="14" t="s">
        <v>2</v>
      </c>
      <c r="DU14" s="14" t="s">
        <v>2</v>
      </c>
      <c r="DV14" s="14" t="s">
        <v>2</v>
      </c>
      <c r="DW14" t="s">
        <v>271</v>
      </c>
      <c r="DX14" t="s">
        <v>271</v>
      </c>
      <c r="DY14" t="s">
        <v>271</v>
      </c>
      <c r="DZ14" t="s">
        <v>271</v>
      </c>
      <c r="EA14" t="s">
        <v>2</v>
      </c>
      <c r="EG14" t="s">
        <v>85</v>
      </c>
      <c r="EH14" s="41">
        <v>100000</v>
      </c>
      <c r="EI14" s="41">
        <v>110000</v>
      </c>
      <c r="EJ14" s="41">
        <v>106000</v>
      </c>
      <c r="EK14" s="41">
        <v>121000</v>
      </c>
      <c r="EL14" s="41">
        <v>115000</v>
      </c>
      <c r="EM14" s="41">
        <v>131000</v>
      </c>
      <c r="EN14" s="41">
        <v>122000</v>
      </c>
      <c r="EO14" s="41">
        <v>160000</v>
      </c>
    </row>
    <row r="15" spans="1:145" x14ac:dyDescent="0.25">
      <c r="A15" s="11" t="s">
        <v>16</v>
      </c>
      <c r="B15" t="s">
        <v>2</v>
      </c>
      <c r="C15" s="19" t="s">
        <v>2</v>
      </c>
      <c r="D15" s="20" t="s">
        <v>2</v>
      </c>
      <c r="E15" s="20" t="s">
        <v>2</v>
      </c>
      <c r="F15" s="20" t="s">
        <v>2</v>
      </c>
      <c r="G15" s="20" t="s">
        <v>2</v>
      </c>
      <c r="H15" s="20" t="s">
        <v>2</v>
      </c>
      <c r="I15" s="20" t="s">
        <v>2</v>
      </c>
      <c r="J15" s="58" t="s">
        <v>434</v>
      </c>
      <c r="K15" s="58" t="s">
        <v>375</v>
      </c>
      <c r="L15" s="58" t="s">
        <v>308</v>
      </c>
      <c r="M15" s="215" t="s">
        <v>262</v>
      </c>
      <c r="O15" s="335"/>
      <c r="P15" s="14" t="s">
        <v>2</v>
      </c>
      <c r="Q15" s="14" t="s">
        <v>2</v>
      </c>
      <c r="R15" s="14" t="s">
        <v>2</v>
      </c>
      <c r="S15" s="14" t="s">
        <v>2</v>
      </c>
      <c r="T15" s="14" t="s">
        <v>2</v>
      </c>
      <c r="U15" s="14" t="s">
        <v>2</v>
      </c>
      <c r="V15" s="14" t="s">
        <v>2</v>
      </c>
      <c r="W15" s="14" t="s">
        <v>2</v>
      </c>
      <c r="X15" s="14" t="s">
        <v>2</v>
      </c>
      <c r="Y15" s="14" t="s">
        <v>2</v>
      </c>
      <c r="Z15" t="s">
        <v>272</v>
      </c>
      <c r="AA15" t="s">
        <v>272</v>
      </c>
      <c r="AB15" t="s">
        <v>272</v>
      </c>
      <c r="AC15" t="s">
        <v>272</v>
      </c>
      <c r="AD15" s="14" t="s">
        <v>2</v>
      </c>
      <c r="AE15" s="14" t="s">
        <v>2</v>
      </c>
      <c r="AF15" t="s">
        <v>272</v>
      </c>
      <c r="AG15" t="s">
        <v>272</v>
      </c>
      <c r="AH15" s="14" t="s">
        <v>2</v>
      </c>
      <c r="AI15" t="s">
        <v>272</v>
      </c>
      <c r="AJ15" t="s">
        <v>272</v>
      </c>
      <c r="AK15" t="s">
        <v>272</v>
      </c>
      <c r="AL15" s="14" t="s">
        <v>2</v>
      </c>
      <c r="AM15" s="14" t="s">
        <v>2</v>
      </c>
      <c r="AN15" s="14" t="s">
        <v>2</v>
      </c>
      <c r="AO15" t="s">
        <v>272</v>
      </c>
      <c r="AP15" t="s">
        <v>272</v>
      </c>
      <c r="AQ15" s="14" t="s">
        <v>2</v>
      </c>
      <c r="AR15" s="14" t="s">
        <v>2</v>
      </c>
      <c r="AS15" s="14" t="s">
        <v>2</v>
      </c>
      <c r="AT15" t="s">
        <v>272</v>
      </c>
      <c r="AU15" t="s">
        <v>272</v>
      </c>
      <c r="AV15" t="s">
        <v>6</v>
      </c>
      <c r="AW15" s="14" t="s">
        <v>2</v>
      </c>
      <c r="AX15" s="14" t="s">
        <v>2</v>
      </c>
      <c r="AY15" s="14" t="s">
        <v>2</v>
      </c>
      <c r="AZ15" t="s">
        <v>6</v>
      </c>
      <c r="BA15" s="14" t="s">
        <v>2</v>
      </c>
      <c r="BB15" t="s">
        <v>6</v>
      </c>
      <c r="BC15" s="14" t="s">
        <v>2</v>
      </c>
      <c r="BD15" s="14" t="s">
        <v>2</v>
      </c>
      <c r="BE15" s="14" t="s">
        <v>2</v>
      </c>
      <c r="BF15" t="s">
        <v>6</v>
      </c>
      <c r="BG15" s="14" t="s">
        <v>2</v>
      </c>
      <c r="BH15" s="14" t="s">
        <v>2</v>
      </c>
      <c r="BI15" s="14" t="s">
        <v>2</v>
      </c>
      <c r="BJ15" t="s">
        <v>6</v>
      </c>
      <c r="BK15" s="14" t="s">
        <v>2</v>
      </c>
      <c r="BL15" s="14" t="s">
        <v>2</v>
      </c>
      <c r="BM15" s="14" t="s">
        <v>2</v>
      </c>
      <c r="BN15" s="14" t="s">
        <v>2</v>
      </c>
      <c r="BO15" s="14" t="s">
        <v>2</v>
      </c>
      <c r="BP15" s="14" t="s">
        <v>2</v>
      </c>
      <c r="BQ15" s="14" t="s">
        <v>2</v>
      </c>
      <c r="BR15" t="s">
        <v>6</v>
      </c>
      <c r="BS15" s="14" t="s">
        <v>2</v>
      </c>
      <c r="BT15" t="s">
        <v>272</v>
      </c>
      <c r="BU15" t="s">
        <v>272</v>
      </c>
      <c r="BV15" t="s">
        <v>6</v>
      </c>
      <c r="BW15" s="14" t="s">
        <v>2</v>
      </c>
      <c r="BX15" t="s">
        <v>272</v>
      </c>
      <c r="BY15" t="s">
        <v>272</v>
      </c>
      <c r="BZ15" t="s">
        <v>272</v>
      </c>
      <c r="CA15" t="s">
        <v>272</v>
      </c>
      <c r="CB15" t="s">
        <v>6</v>
      </c>
      <c r="CC15" s="14" t="s">
        <v>2</v>
      </c>
      <c r="CD15" s="14" t="s">
        <v>2</v>
      </c>
      <c r="CE15" s="14" t="s">
        <v>2</v>
      </c>
      <c r="CF15" t="s">
        <v>6</v>
      </c>
      <c r="CG15" s="14" t="s">
        <v>2</v>
      </c>
      <c r="CH15" t="s">
        <v>6</v>
      </c>
      <c r="CI15" s="14" t="s">
        <v>2</v>
      </c>
      <c r="CJ15" t="s">
        <v>6</v>
      </c>
      <c r="CK15" s="14" t="s">
        <v>2</v>
      </c>
      <c r="CL15" t="s">
        <v>6</v>
      </c>
      <c r="CM15" s="14" t="s">
        <v>2</v>
      </c>
      <c r="CN15" t="s">
        <v>6</v>
      </c>
      <c r="CO15" s="14" t="s">
        <v>2</v>
      </c>
      <c r="CP15" t="s">
        <v>6</v>
      </c>
      <c r="CQ15" s="14" t="s">
        <v>2</v>
      </c>
      <c r="CR15" t="s">
        <v>6</v>
      </c>
      <c r="CS15" s="14" t="s">
        <v>2</v>
      </c>
      <c r="CT15" t="s">
        <v>6</v>
      </c>
      <c r="CU15" s="14" t="s">
        <v>2</v>
      </c>
      <c r="CV15" t="s">
        <v>6</v>
      </c>
      <c r="CW15" s="14" t="s">
        <v>2</v>
      </c>
      <c r="CX15" t="s">
        <v>272</v>
      </c>
      <c r="CY15" t="s">
        <v>272</v>
      </c>
      <c r="CZ15" t="s">
        <v>6</v>
      </c>
      <c r="DA15" s="14" t="s">
        <v>2</v>
      </c>
      <c r="DB15" s="14" t="s">
        <v>2</v>
      </c>
      <c r="DC15" t="s">
        <v>272</v>
      </c>
      <c r="DD15" t="s">
        <v>272</v>
      </c>
      <c r="DE15" t="s">
        <v>6</v>
      </c>
      <c r="DF15" t="s">
        <v>6</v>
      </c>
      <c r="DG15" t="s">
        <v>6</v>
      </c>
      <c r="DH15" s="14" t="s">
        <v>2</v>
      </c>
      <c r="DI15" s="14" t="s">
        <v>2</v>
      </c>
      <c r="DJ15" s="14" t="s">
        <v>2</v>
      </c>
      <c r="DK15" t="s">
        <v>6</v>
      </c>
      <c r="DL15" s="14" t="s">
        <v>2</v>
      </c>
      <c r="DM15" t="s">
        <v>6</v>
      </c>
      <c r="DN15" s="14" t="s">
        <v>2</v>
      </c>
      <c r="DO15" s="14" t="s">
        <v>2</v>
      </c>
      <c r="DP15" s="14" t="s">
        <v>2</v>
      </c>
      <c r="DQ15" t="s">
        <v>6</v>
      </c>
      <c r="DR15" s="14" t="s">
        <v>2</v>
      </c>
      <c r="DS15" t="s">
        <v>6</v>
      </c>
      <c r="DT15" s="14" t="s">
        <v>2</v>
      </c>
      <c r="DU15" s="14" t="s">
        <v>2</v>
      </c>
      <c r="DV15" s="14" t="s">
        <v>2</v>
      </c>
      <c r="DW15" t="s">
        <v>272</v>
      </c>
      <c r="DX15" t="s">
        <v>272</v>
      </c>
      <c r="DY15" t="s">
        <v>272</v>
      </c>
      <c r="DZ15" t="s">
        <v>272</v>
      </c>
      <c r="EA15" t="s">
        <v>2</v>
      </c>
      <c r="EG15" t="s">
        <v>86</v>
      </c>
      <c r="EH15" s="41">
        <v>130000</v>
      </c>
      <c r="EI15" s="41">
        <v>140000</v>
      </c>
      <c r="EJ15" s="41">
        <v>146000</v>
      </c>
      <c r="EK15" s="41">
        <v>161000</v>
      </c>
      <c r="EL15" s="41">
        <v>160000</v>
      </c>
      <c r="EM15" s="41">
        <v>177000</v>
      </c>
      <c r="EN15" s="41">
        <v>147000</v>
      </c>
      <c r="EO15" s="41">
        <v>177000</v>
      </c>
    </row>
    <row r="16" spans="1:145" x14ac:dyDescent="0.25">
      <c r="A16" s="11" t="s">
        <v>17</v>
      </c>
      <c r="B16" t="s">
        <v>2</v>
      </c>
      <c r="C16" s="19" t="s">
        <v>2</v>
      </c>
      <c r="D16" s="20" t="s">
        <v>2</v>
      </c>
      <c r="E16" s="20" t="s">
        <v>2</v>
      </c>
      <c r="F16" s="20" t="s">
        <v>2</v>
      </c>
      <c r="G16" s="20" t="s">
        <v>2</v>
      </c>
      <c r="H16" s="20" t="s">
        <v>2</v>
      </c>
      <c r="I16" s="20" t="s">
        <v>2</v>
      </c>
      <c r="J16" s="58" t="s">
        <v>438</v>
      </c>
      <c r="K16" s="58" t="s">
        <v>377</v>
      </c>
      <c r="L16" s="58" t="s">
        <v>310</v>
      </c>
      <c r="M16" s="215" t="s">
        <v>263</v>
      </c>
      <c r="O16" s="335"/>
      <c r="P16" s="14" t="s">
        <v>2</v>
      </c>
      <c r="Q16" s="14" t="s">
        <v>2</v>
      </c>
      <c r="R16" s="14" t="s">
        <v>2</v>
      </c>
      <c r="S16" s="14" t="s">
        <v>2</v>
      </c>
      <c r="T16" s="14" t="s">
        <v>2</v>
      </c>
      <c r="U16" s="14" t="s">
        <v>2</v>
      </c>
      <c r="V16" s="14" t="s">
        <v>2</v>
      </c>
      <c r="W16" s="14" t="s">
        <v>2</v>
      </c>
      <c r="X16" s="14" t="s">
        <v>2</v>
      </c>
      <c r="Y16" s="14" t="s">
        <v>2</v>
      </c>
      <c r="Z16" t="s">
        <v>135</v>
      </c>
      <c r="AA16" t="s">
        <v>135</v>
      </c>
      <c r="AB16" t="s">
        <v>7</v>
      </c>
      <c r="AC16" t="s">
        <v>7</v>
      </c>
      <c r="AD16" s="14" t="s">
        <v>2</v>
      </c>
      <c r="AE16" s="14" t="s">
        <v>2</v>
      </c>
      <c r="AF16" t="s">
        <v>135</v>
      </c>
      <c r="AG16" t="s">
        <v>7</v>
      </c>
      <c r="AH16" s="14" t="s">
        <v>2</v>
      </c>
      <c r="AI16" t="s">
        <v>135</v>
      </c>
      <c r="AJ16" t="s">
        <v>135</v>
      </c>
      <c r="AK16" t="s">
        <v>7</v>
      </c>
      <c r="AL16" s="14" t="s">
        <v>2</v>
      </c>
      <c r="AM16" s="14" t="s">
        <v>2</v>
      </c>
      <c r="AN16" s="14" t="s">
        <v>2</v>
      </c>
      <c r="AO16" s="14" t="s">
        <v>2</v>
      </c>
      <c r="AP16" s="14" t="s">
        <v>2</v>
      </c>
      <c r="AQ16" s="14" t="s">
        <v>2</v>
      </c>
      <c r="AR16" s="14" t="s">
        <v>2</v>
      </c>
      <c r="AS16" s="14" t="s">
        <v>2</v>
      </c>
      <c r="AT16" s="14" t="s">
        <v>2</v>
      </c>
      <c r="AU16" s="14" t="s">
        <v>2</v>
      </c>
      <c r="AV16" t="s">
        <v>7</v>
      </c>
      <c r="AW16" s="14" t="s">
        <v>2</v>
      </c>
      <c r="AX16" s="14" t="s">
        <v>2</v>
      </c>
      <c r="AY16" s="14" t="s">
        <v>2</v>
      </c>
      <c r="AZ16" t="s">
        <v>7</v>
      </c>
      <c r="BA16" s="14" t="s">
        <v>2</v>
      </c>
      <c r="BB16" t="s">
        <v>7</v>
      </c>
      <c r="BC16" s="14" t="s">
        <v>2</v>
      </c>
      <c r="BD16" s="14" t="s">
        <v>2</v>
      </c>
      <c r="BE16" s="14" t="s">
        <v>2</v>
      </c>
      <c r="BF16" s="14" t="s">
        <v>2</v>
      </c>
      <c r="BG16" s="14" t="s">
        <v>2</v>
      </c>
      <c r="BH16" s="14" t="s">
        <v>2</v>
      </c>
      <c r="BI16" s="14" t="s">
        <v>2</v>
      </c>
      <c r="BJ16" s="14" t="s">
        <v>2</v>
      </c>
      <c r="BK16" s="14" t="s">
        <v>2</v>
      </c>
      <c r="BL16" s="14" t="s">
        <v>2</v>
      </c>
      <c r="BM16" s="14" t="s">
        <v>2</v>
      </c>
      <c r="BN16" s="14" t="s">
        <v>2</v>
      </c>
      <c r="BO16" s="14" t="s">
        <v>2</v>
      </c>
      <c r="BP16" s="14" t="s">
        <v>2</v>
      </c>
      <c r="BQ16" s="14" t="s">
        <v>2</v>
      </c>
      <c r="BR16" t="s">
        <v>5</v>
      </c>
      <c r="BS16" s="14" t="s">
        <v>2</v>
      </c>
      <c r="BT16" t="s">
        <v>352</v>
      </c>
      <c r="BU16" t="s">
        <v>352</v>
      </c>
      <c r="BV16" s="14" t="s">
        <v>2</v>
      </c>
      <c r="BW16" s="14" t="s">
        <v>2</v>
      </c>
      <c r="BX16" t="s">
        <v>270</v>
      </c>
      <c r="BY16" t="s">
        <v>270</v>
      </c>
      <c r="BZ16" t="s">
        <v>270</v>
      </c>
      <c r="CA16" t="s">
        <v>270</v>
      </c>
      <c r="CB16" t="s">
        <v>7</v>
      </c>
      <c r="CC16" s="14" t="s">
        <v>2</v>
      </c>
      <c r="CD16" s="14" t="s">
        <v>2</v>
      </c>
      <c r="CE16" s="14" t="s">
        <v>2</v>
      </c>
      <c r="CF16" t="s">
        <v>7</v>
      </c>
      <c r="CG16" s="14" t="s">
        <v>2</v>
      </c>
      <c r="CH16" t="s">
        <v>7</v>
      </c>
      <c r="CI16" s="14" t="s">
        <v>2</v>
      </c>
      <c r="CJ16" s="14" t="s">
        <v>2</v>
      </c>
      <c r="CK16" s="14" t="s">
        <v>2</v>
      </c>
      <c r="CL16" s="14" t="s">
        <v>2</v>
      </c>
      <c r="CM16" s="14" t="s">
        <v>2</v>
      </c>
      <c r="CN16" s="14" t="s">
        <v>2</v>
      </c>
      <c r="CO16" s="14" t="s">
        <v>2</v>
      </c>
      <c r="CP16" s="14" t="s">
        <v>2</v>
      </c>
      <c r="CQ16" s="14" t="s">
        <v>2</v>
      </c>
      <c r="CR16" s="14" t="s">
        <v>2</v>
      </c>
      <c r="CS16" s="14" t="s">
        <v>2</v>
      </c>
      <c r="CT16" s="14" t="s">
        <v>2</v>
      </c>
      <c r="CU16" s="14" t="s">
        <v>2</v>
      </c>
      <c r="CV16" t="s">
        <v>5</v>
      </c>
      <c r="CW16" s="14" t="s">
        <v>2</v>
      </c>
      <c r="CX16" t="s">
        <v>352</v>
      </c>
      <c r="CY16" t="s">
        <v>352</v>
      </c>
      <c r="CZ16" s="14" t="s">
        <v>2</v>
      </c>
      <c r="DA16" s="14" t="s">
        <v>2</v>
      </c>
      <c r="DB16" s="14" t="s">
        <v>2</v>
      </c>
      <c r="DC16" t="s">
        <v>270</v>
      </c>
      <c r="DD16" t="s">
        <v>270</v>
      </c>
      <c r="DE16" t="s">
        <v>270</v>
      </c>
      <c r="DF16" t="s">
        <v>270</v>
      </c>
      <c r="DG16" t="s">
        <v>7</v>
      </c>
      <c r="DH16" s="14" t="s">
        <v>2</v>
      </c>
      <c r="DI16" s="14" t="s">
        <v>2</v>
      </c>
      <c r="DJ16" s="14" t="s">
        <v>2</v>
      </c>
      <c r="DK16" t="s">
        <v>7</v>
      </c>
      <c r="DL16" s="14" t="s">
        <v>2</v>
      </c>
      <c r="DM16" t="s">
        <v>7</v>
      </c>
      <c r="DN16" s="14" t="s">
        <v>2</v>
      </c>
      <c r="DO16" s="14" t="s">
        <v>2</v>
      </c>
      <c r="DP16" s="14" t="s">
        <v>2</v>
      </c>
      <c r="DQ16" s="14" t="s">
        <v>2</v>
      </c>
      <c r="DR16" s="14" t="s">
        <v>2</v>
      </c>
      <c r="DS16" s="14" t="s">
        <v>2</v>
      </c>
      <c r="DT16" s="14" t="s">
        <v>2</v>
      </c>
      <c r="DU16" s="14" t="s">
        <v>2</v>
      </c>
      <c r="DV16" s="14" t="s">
        <v>2</v>
      </c>
      <c r="DW16" t="s">
        <v>352</v>
      </c>
      <c r="DX16" t="s">
        <v>352</v>
      </c>
      <c r="DY16" t="s">
        <v>352</v>
      </c>
      <c r="DZ16" t="s">
        <v>352</v>
      </c>
      <c r="EA16" t="s">
        <v>2</v>
      </c>
    </row>
    <row r="17" spans="1:141" x14ac:dyDescent="0.25">
      <c r="A17" s="11" t="s">
        <v>18</v>
      </c>
      <c r="B17" t="s">
        <v>2</v>
      </c>
      <c r="C17" s="19" t="s">
        <v>2</v>
      </c>
      <c r="D17" s="20" t="s">
        <v>2</v>
      </c>
      <c r="E17" s="20" t="s">
        <v>2</v>
      </c>
      <c r="F17" s="20" t="s">
        <v>2</v>
      </c>
      <c r="G17" s="20" t="s">
        <v>2</v>
      </c>
      <c r="H17" s="20" t="s">
        <v>2</v>
      </c>
      <c r="I17" s="20" t="s">
        <v>2</v>
      </c>
      <c r="J17" s="58" t="s">
        <v>436</v>
      </c>
      <c r="K17" s="58" t="s">
        <v>379</v>
      </c>
      <c r="L17" s="58" t="s">
        <v>311</v>
      </c>
      <c r="M17" s="219" t="s">
        <v>198</v>
      </c>
      <c r="O17" s="335"/>
      <c r="P17" s="14" t="s">
        <v>2</v>
      </c>
      <c r="Q17" s="14" t="s">
        <v>2</v>
      </c>
      <c r="R17" s="14" t="s">
        <v>2</v>
      </c>
      <c r="S17" s="14" t="s">
        <v>2</v>
      </c>
      <c r="T17" s="14" t="s">
        <v>2</v>
      </c>
      <c r="U17" s="14" t="s">
        <v>2</v>
      </c>
      <c r="V17" s="14" t="s">
        <v>2</v>
      </c>
      <c r="W17" s="14" t="s">
        <v>2</v>
      </c>
      <c r="X17" s="14" t="s">
        <v>2</v>
      </c>
      <c r="Y17" s="14" t="s">
        <v>2</v>
      </c>
      <c r="Z17" t="s">
        <v>6</v>
      </c>
      <c r="AA17" t="s">
        <v>6</v>
      </c>
      <c r="AB17" s="14" t="s">
        <v>2</v>
      </c>
      <c r="AC17" s="14" t="s">
        <v>2</v>
      </c>
      <c r="AD17" s="14" t="s">
        <v>2</v>
      </c>
      <c r="AE17" s="14" t="s">
        <v>2</v>
      </c>
      <c r="AF17" t="s">
        <v>6</v>
      </c>
      <c r="AG17" s="14" t="s">
        <v>2</v>
      </c>
      <c r="AH17" s="14" t="s">
        <v>2</v>
      </c>
      <c r="AI17" t="s">
        <v>6</v>
      </c>
      <c r="AJ17" t="s">
        <v>6</v>
      </c>
      <c r="AK17" s="14" t="s">
        <v>2</v>
      </c>
      <c r="AL17" s="14" t="s">
        <v>2</v>
      </c>
      <c r="AM17" s="14" t="s">
        <v>2</v>
      </c>
      <c r="AN17" s="14" t="s">
        <v>2</v>
      </c>
      <c r="AO17" s="14" t="s">
        <v>2</v>
      </c>
      <c r="AP17" s="14" t="s">
        <v>2</v>
      </c>
      <c r="AQ17" s="14" t="s">
        <v>2</v>
      </c>
      <c r="AR17" s="14" t="s">
        <v>2</v>
      </c>
      <c r="AS17" s="14" t="s">
        <v>2</v>
      </c>
      <c r="AT17" s="14" t="s">
        <v>2</v>
      </c>
      <c r="AU17" s="14" t="s">
        <v>2</v>
      </c>
      <c r="AV17" s="14" t="s">
        <v>2</v>
      </c>
      <c r="AW17" s="14" t="s">
        <v>2</v>
      </c>
      <c r="AX17" s="14" t="s">
        <v>2</v>
      </c>
      <c r="AY17" s="14" t="s">
        <v>2</v>
      </c>
      <c r="AZ17" s="14" t="s">
        <v>2</v>
      </c>
      <c r="BA17" s="14" t="s">
        <v>2</v>
      </c>
      <c r="BB17" s="14" t="s">
        <v>2</v>
      </c>
      <c r="BC17" s="14" t="s">
        <v>2</v>
      </c>
      <c r="BD17" s="14" t="s">
        <v>2</v>
      </c>
      <c r="BE17" s="14" t="s">
        <v>2</v>
      </c>
      <c r="BF17" s="14" t="s">
        <v>2</v>
      </c>
      <c r="BG17" s="14" t="s">
        <v>2</v>
      </c>
      <c r="BH17" s="14" t="s">
        <v>2</v>
      </c>
      <c r="BI17" s="14" t="s">
        <v>2</v>
      </c>
      <c r="BJ17" s="14" t="s">
        <v>2</v>
      </c>
      <c r="BK17" s="14" t="s">
        <v>2</v>
      </c>
      <c r="BL17" s="14" t="s">
        <v>2</v>
      </c>
      <c r="BM17" s="14" t="s">
        <v>2</v>
      </c>
      <c r="BN17" s="14" t="s">
        <v>2</v>
      </c>
      <c r="BO17" s="14" t="s">
        <v>2</v>
      </c>
      <c r="BP17" s="14" t="s">
        <v>2</v>
      </c>
      <c r="BQ17" s="14" t="s">
        <v>2</v>
      </c>
      <c r="BR17" s="14" t="s">
        <v>2</v>
      </c>
      <c r="BS17" s="14" t="s">
        <v>2</v>
      </c>
      <c r="BT17" s="14" t="s">
        <v>2</v>
      </c>
      <c r="BU17" s="14" t="s">
        <v>2</v>
      </c>
      <c r="BV17" s="14" t="s">
        <v>2</v>
      </c>
      <c r="BW17" s="14" t="s">
        <v>2</v>
      </c>
      <c r="BX17" s="14" t="s">
        <v>2</v>
      </c>
      <c r="BY17" s="14" t="s">
        <v>2</v>
      </c>
      <c r="BZ17" s="14" t="s">
        <v>2</v>
      </c>
      <c r="CA17" s="14" t="s">
        <v>2</v>
      </c>
      <c r="CB17" s="14" t="s">
        <v>2</v>
      </c>
      <c r="CC17" s="14" t="s">
        <v>2</v>
      </c>
      <c r="CD17" s="14" t="s">
        <v>2</v>
      </c>
      <c r="CE17" s="14" t="s">
        <v>2</v>
      </c>
      <c r="CF17" s="14" t="s">
        <v>2</v>
      </c>
      <c r="CG17" s="14" t="s">
        <v>2</v>
      </c>
      <c r="CH17" s="14" t="s">
        <v>2</v>
      </c>
      <c r="CI17" s="14" t="s">
        <v>2</v>
      </c>
      <c r="CJ17" s="14" t="s">
        <v>2</v>
      </c>
      <c r="CK17" s="14" t="s">
        <v>2</v>
      </c>
      <c r="CL17" s="14" t="s">
        <v>2</v>
      </c>
      <c r="CM17" s="14" t="s">
        <v>2</v>
      </c>
      <c r="CN17" s="14" t="s">
        <v>2</v>
      </c>
      <c r="CO17" s="14" t="s">
        <v>2</v>
      </c>
      <c r="CP17" s="14" t="s">
        <v>2</v>
      </c>
      <c r="CQ17" s="14" t="s">
        <v>2</v>
      </c>
      <c r="CR17" s="14" t="s">
        <v>2</v>
      </c>
      <c r="CS17" s="14" t="s">
        <v>2</v>
      </c>
      <c r="CT17" s="14" t="s">
        <v>2</v>
      </c>
      <c r="CU17" s="14" t="s">
        <v>2</v>
      </c>
      <c r="CV17" s="14" t="s">
        <v>2</v>
      </c>
      <c r="CW17" s="14" t="s">
        <v>2</v>
      </c>
      <c r="CX17" s="14" t="s">
        <v>2</v>
      </c>
      <c r="CY17" s="14" t="s">
        <v>2</v>
      </c>
      <c r="CZ17" s="14" t="s">
        <v>2</v>
      </c>
      <c r="DA17" s="14" t="s">
        <v>2</v>
      </c>
      <c r="DB17" s="14" t="s">
        <v>2</v>
      </c>
      <c r="DC17" s="14" t="s">
        <v>2</v>
      </c>
      <c r="DD17" s="14" t="s">
        <v>2</v>
      </c>
      <c r="DE17" s="14" t="s">
        <v>2</v>
      </c>
      <c r="DF17" s="14" t="s">
        <v>2</v>
      </c>
      <c r="DG17" s="14" t="s">
        <v>2</v>
      </c>
      <c r="DH17" s="14" t="s">
        <v>2</v>
      </c>
      <c r="DI17" s="14" t="s">
        <v>2</v>
      </c>
      <c r="DJ17" s="14" t="s">
        <v>2</v>
      </c>
      <c r="DK17" s="14" t="s">
        <v>2</v>
      </c>
      <c r="DL17" s="14" t="s">
        <v>2</v>
      </c>
      <c r="DM17" s="14" t="s">
        <v>2</v>
      </c>
      <c r="DN17" s="14" t="s">
        <v>2</v>
      </c>
      <c r="DO17" s="14" t="s">
        <v>2</v>
      </c>
      <c r="DP17" s="14" t="s">
        <v>2</v>
      </c>
      <c r="DQ17" s="14" t="s">
        <v>2</v>
      </c>
      <c r="DR17" s="14" t="s">
        <v>2</v>
      </c>
      <c r="DS17" s="14" t="s">
        <v>2</v>
      </c>
      <c r="DT17" s="14" t="s">
        <v>2</v>
      </c>
      <c r="DU17" s="14" t="s">
        <v>2</v>
      </c>
      <c r="DV17" s="14" t="s">
        <v>2</v>
      </c>
      <c r="DW17" s="14" t="s">
        <v>2</v>
      </c>
      <c r="DX17" s="14" t="s">
        <v>2</v>
      </c>
      <c r="DY17" s="14" t="s">
        <v>2</v>
      </c>
      <c r="DZ17" s="14" t="s">
        <v>2</v>
      </c>
    </row>
    <row r="18" spans="1:141" x14ac:dyDescent="0.25">
      <c r="A18" s="11" t="s">
        <v>19</v>
      </c>
      <c r="B18" t="s">
        <v>2</v>
      </c>
      <c r="C18" s="19" t="s">
        <v>2</v>
      </c>
      <c r="D18" s="20" t="s">
        <v>2</v>
      </c>
      <c r="E18" s="20" t="s">
        <v>2</v>
      </c>
      <c r="F18" s="20" t="s">
        <v>2</v>
      </c>
      <c r="G18" s="20" t="s">
        <v>2</v>
      </c>
      <c r="H18" s="20" t="s">
        <v>2</v>
      </c>
      <c r="I18" s="20" t="s">
        <v>2</v>
      </c>
      <c r="J18" s="20" t="s">
        <v>2</v>
      </c>
      <c r="K18" s="58" t="s">
        <v>359</v>
      </c>
      <c r="L18" s="58" t="s">
        <v>312</v>
      </c>
      <c r="M18" s="163" t="s">
        <v>2</v>
      </c>
      <c r="N18" s="1"/>
      <c r="O18" s="336"/>
      <c r="P18" s="15" t="s">
        <v>2</v>
      </c>
      <c r="Q18" s="15" t="s">
        <v>2</v>
      </c>
      <c r="R18" s="15" t="s">
        <v>2</v>
      </c>
      <c r="S18" s="15" t="s">
        <v>2</v>
      </c>
      <c r="T18" s="15" t="s">
        <v>2</v>
      </c>
      <c r="U18" s="15" t="s">
        <v>2</v>
      </c>
      <c r="V18" s="15" t="s">
        <v>2</v>
      </c>
      <c r="W18" s="15" t="s">
        <v>2</v>
      </c>
      <c r="X18" s="15" t="s">
        <v>2</v>
      </c>
      <c r="Y18" s="15" t="s">
        <v>2</v>
      </c>
      <c r="Z18" s="1" t="s">
        <v>7</v>
      </c>
      <c r="AA18" s="1" t="s">
        <v>7</v>
      </c>
      <c r="AB18" s="15" t="s">
        <v>2</v>
      </c>
      <c r="AC18" s="15" t="s">
        <v>2</v>
      </c>
      <c r="AD18" s="15" t="s">
        <v>2</v>
      </c>
      <c r="AE18" s="15" t="s">
        <v>2</v>
      </c>
      <c r="AF18" s="1" t="s">
        <v>7</v>
      </c>
      <c r="AG18" s="15" t="s">
        <v>2</v>
      </c>
      <c r="AH18" s="15" t="s">
        <v>2</v>
      </c>
      <c r="AI18" s="1" t="s">
        <v>7</v>
      </c>
      <c r="AJ18" s="1" t="s">
        <v>7</v>
      </c>
      <c r="AK18" s="15" t="s">
        <v>2</v>
      </c>
      <c r="AL18" s="15" t="s">
        <v>2</v>
      </c>
      <c r="AM18" s="15" t="s">
        <v>2</v>
      </c>
      <c r="AN18" s="15" t="s">
        <v>2</v>
      </c>
      <c r="AO18" s="15" t="s">
        <v>2</v>
      </c>
      <c r="AP18" s="15" t="s">
        <v>2</v>
      </c>
      <c r="AQ18" s="15" t="s">
        <v>2</v>
      </c>
      <c r="AR18" s="15" t="s">
        <v>2</v>
      </c>
      <c r="AS18" s="15" t="s">
        <v>2</v>
      </c>
      <c r="AT18" s="15" t="s">
        <v>2</v>
      </c>
      <c r="AU18" s="15" t="s">
        <v>2</v>
      </c>
      <c r="AV18" s="15" t="s">
        <v>2</v>
      </c>
      <c r="AW18" s="15" t="s">
        <v>2</v>
      </c>
      <c r="AX18" s="15" t="s">
        <v>2</v>
      </c>
      <c r="AY18" s="15" t="s">
        <v>2</v>
      </c>
      <c r="AZ18" s="15" t="s">
        <v>2</v>
      </c>
      <c r="BA18" s="15" t="s">
        <v>2</v>
      </c>
      <c r="BB18" s="15" t="s">
        <v>2</v>
      </c>
      <c r="BC18" s="15" t="s">
        <v>2</v>
      </c>
      <c r="BD18" s="15" t="s">
        <v>2</v>
      </c>
      <c r="BE18" s="15" t="s">
        <v>2</v>
      </c>
      <c r="BF18" s="15" t="s">
        <v>2</v>
      </c>
      <c r="BG18" s="15" t="s">
        <v>2</v>
      </c>
      <c r="BH18" s="15" t="s">
        <v>2</v>
      </c>
      <c r="BI18" s="15" t="s">
        <v>2</v>
      </c>
      <c r="BJ18" s="15" t="s">
        <v>2</v>
      </c>
      <c r="BK18" s="15" t="s">
        <v>2</v>
      </c>
      <c r="BL18" s="15" t="s">
        <v>2</v>
      </c>
      <c r="BM18" s="15" t="s">
        <v>2</v>
      </c>
      <c r="BN18" s="15" t="s">
        <v>2</v>
      </c>
      <c r="BO18" s="15" t="s">
        <v>2</v>
      </c>
      <c r="BP18" s="15" t="s">
        <v>2</v>
      </c>
      <c r="BQ18" s="15" t="s">
        <v>2</v>
      </c>
      <c r="BR18" s="15" t="s">
        <v>2</v>
      </c>
      <c r="BS18" s="15" t="s">
        <v>2</v>
      </c>
      <c r="BT18" s="15" t="s">
        <v>2</v>
      </c>
      <c r="BU18" s="15" t="s">
        <v>2</v>
      </c>
      <c r="BV18" s="15" t="s">
        <v>2</v>
      </c>
      <c r="BW18" s="15" t="s">
        <v>2</v>
      </c>
      <c r="BX18" s="15" t="s">
        <v>2</v>
      </c>
      <c r="BY18" s="15" t="s">
        <v>2</v>
      </c>
      <c r="BZ18" s="15" t="s">
        <v>2</v>
      </c>
      <c r="CA18" s="15" t="s">
        <v>2</v>
      </c>
      <c r="CB18" s="1" t="s">
        <v>399</v>
      </c>
      <c r="CC18" s="1" t="s">
        <v>399</v>
      </c>
      <c r="CD18" s="1" t="s">
        <v>399</v>
      </c>
      <c r="CE18" s="1" t="s">
        <v>399</v>
      </c>
      <c r="CF18" s="1" t="s">
        <v>399</v>
      </c>
      <c r="CG18" s="1" t="s">
        <v>399</v>
      </c>
      <c r="CH18" s="1" t="s">
        <v>399</v>
      </c>
      <c r="CI18" s="1" t="s">
        <v>399</v>
      </c>
      <c r="CJ18" s="15" t="s">
        <v>2</v>
      </c>
      <c r="CK18" s="15" t="s">
        <v>2</v>
      </c>
      <c r="CL18" s="1" t="s">
        <v>399</v>
      </c>
      <c r="CM18" s="1" t="s">
        <v>399</v>
      </c>
      <c r="CN18" s="15" t="s">
        <v>2</v>
      </c>
      <c r="CO18" s="15" t="s">
        <v>2</v>
      </c>
      <c r="CP18" s="1" t="s">
        <v>399</v>
      </c>
      <c r="CQ18" s="15" t="s">
        <v>2</v>
      </c>
      <c r="CR18" s="15" t="s">
        <v>2</v>
      </c>
      <c r="CS18" s="15" t="s">
        <v>2</v>
      </c>
      <c r="CT18" s="15" t="s">
        <v>2</v>
      </c>
      <c r="CU18" s="15" t="s">
        <v>2</v>
      </c>
      <c r="CV18" s="1" t="s">
        <v>399</v>
      </c>
      <c r="CW18" s="1" t="s">
        <v>399</v>
      </c>
      <c r="CX18" s="1" t="s">
        <v>399</v>
      </c>
      <c r="CY18" s="1" t="s">
        <v>399</v>
      </c>
      <c r="CZ18" s="1" t="s">
        <v>399</v>
      </c>
      <c r="DA18" s="1" t="s">
        <v>399</v>
      </c>
      <c r="DB18" s="15" t="s">
        <v>2</v>
      </c>
      <c r="DC18" s="1" t="s">
        <v>399</v>
      </c>
      <c r="DD18" s="1" t="s">
        <v>399</v>
      </c>
      <c r="DE18" s="1" t="s">
        <v>399</v>
      </c>
      <c r="DF18" s="1" t="s">
        <v>399</v>
      </c>
      <c r="DG18" s="1" t="s">
        <v>399</v>
      </c>
      <c r="DH18" s="1" t="s">
        <v>399</v>
      </c>
      <c r="DI18" s="1" t="s">
        <v>399</v>
      </c>
      <c r="DJ18" s="1" t="s">
        <v>399</v>
      </c>
      <c r="DK18" s="1" t="s">
        <v>399</v>
      </c>
      <c r="DL18" s="1" t="s">
        <v>399</v>
      </c>
      <c r="DM18" s="1" t="s">
        <v>399</v>
      </c>
      <c r="DN18" s="1" t="s">
        <v>399</v>
      </c>
      <c r="DO18" s="15" t="s">
        <v>2</v>
      </c>
      <c r="DP18" s="15" t="s">
        <v>2</v>
      </c>
      <c r="DQ18" s="1" t="s">
        <v>399</v>
      </c>
      <c r="DR18" s="1" t="s">
        <v>399</v>
      </c>
      <c r="DS18" s="1" t="s">
        <v>399</v>
      </c>
      <c r="DT18" s="1" t="s">
        <v>399</v>
      </c>
      <c r="DU18" s="15" t="s">
        <v>2</v>
      </c>
      <c r="DV18" s="15" t="s">
        <v>2</v>
      </c>
      <c r="DW18" s="1" t="s">
        <v>399</v>
      </c>
      <c r="DX18" s="1" t="s">
        <v>399</v>
      </c>
      <c r="DY18" s="1" t="s">
        <v>399</v>
      </c>
      <c r="DZ18" s="1" t="s">
        <v>399</v>
      </c>
      <c r="EA18" t="s">
        <v>2</v>
      </c>
      <c r="EG18" s="42" t="s">
        <v>206</v>
      </c>
      <c r="EH18" s="66" t="s">
        <v>171</v>
      </c>
      <c r="EI18" s="237" t="s">
        <v>313</v>
      </c>
      <c r="EJ18" s="238" t="s">
        <v>381</v>
      </c>
      <c r="EK18" s="244" t="s">
        <v>405</v>
      </c>
    </row>
    <row r="19" spans="1:141" ht="15" customHeight="1" x14ac:dyDescent="0.25">
      <c r="A19" s="11" t="s">
        <v>20</v>
      </c>
      <c r="B19" t="s">
        <v>2</v>
      </c>
      <c r="C19" s="19" t="s">
        <v>2</v>
      </c>
      <c r="D19" s="20" t="s">
        <v>2</v>
      </c>
      <c r="E19" s="20" t="s">
        <v>2</v>
      </c>
      <c r="F19" s="20" t="s">
        <v>2</v>
      </c>
      <c r="G19" s="20" t="s">
        <v>2</v>
      </c>
      <c r="H19" s="20" t="s">
        <v>2</v>
      </c>
      <c r="I19" s="20" t="s">
        <v>2</v>
      </c>
      <c r="J19" s="20" t="s">
        <v>2</v>
      </c>
      <c r="K19" s="20" t="s">
        <v>2</v>
      </c>
      <c r="L19" s="58" t="s">
        <v>321</v>
      </c>
      <c r="M19" s="163" t="s">
        <v>2</v>
      </c>
      <c r="CB19" s="239" t="s">
        <v>395</v>
      </c>
      <c r="CC19" s="239" t="s">
        <v>395</v>
      </c>
      <c r="CD19" s="239" t="s">
        <v>395</v>
      </c>
      <c r="CE19" s="239" t="s">
        <v>395</v>
      </c>
      <c r="CF19" s="239" t="s">
        <v>395</v>
      </c>
      <c r="CG19" s="239" t="s">
        <v>395</v>
      </c>
      <c r="CH19" s="239" t="s">
        <v>395</v>
      </c>
      <c r="CI19" s="239" t="s">
        <v>395</v>
      </c>
      <c r="CL19" s="239" t="s">
        <v>395</v>
      </c>
      <c r="CM19" s="239" t="s">
        <v>395</v>
      </c>
      <c r="CP19" s="239" t="s">
        <v>395</v>
      </c>
      <c r="CQ19" s="239" t="s">
        <v>395</v>
      </c>
      <c r="CV19" s="239" t="s">
        <v>395</v>
      </c>
      <c r="CW19" s="239" t="s">
        <v>395</v>
      </c>
      <c r="CX19" s="239" t="s">
        <v>395</v>
      </c>
      <c r="CY19" s="239" t="s">
        <v>395</v>
      </c>
      <c r="CZ19" s="239" t="s">
        <v>395</v>
      </c>
      <c r="DA19" s="239" t="s">
        <v>395</v>
      </c>
      <c r="DC19" s="239" t="s">
        <v>395</v>
      </c>
      <c r="DD19" s="239" t="s">
        <v>395</v>
      </c>
      <c r="DE19" s="239" t="s">
        <v>395</v>
      </c>
      <c r="DF19" s="239" t="s">
        <v>395</v>
      </c>
      <c r="DG19" s="239" t="s">
        <v>395</v>
      </c>
      <c r="DH19" s="239" t="s">
        <v>395</v>
      </c>
      <c r="DI19" s="239" t="s">
        <v>395</v>
      </c>
      <c r="DJ19" s="239" t="s">
        <v>395</v>
      </c>
      <c r="DK19" s="239" t="s">
        <v>395</v>
      </c>
      <c r="DL19" s="239" t="s">
        <v>395</v>
      </c>
      <c r="DM19" s="239" t="s">
        <v>395</v>
      </c>
      <c r="DN19" s="239" t="s">
        <v>395</v>
      </c>
      <c r="DO19" s="239" t="s">
        <v>395</v>
      </c>
      <c r="DP19" s="239" t="s">
        <v>395</v>
      </c>
      <c r="DQ19" s="239" t="s">
        <v>395</v>
      </c>
      <c r="DR19" s="239" t="s">
        <v>395</v>
      </c>
      <c r="DS19" s="239" t="s">
        <v>395</v>
      </c>
      <c r="DT19" s="239" t="s">
        <v>395</v>
      </c>
      <c r="DU19" s="239" t="s">
        <v>395</v>
      </c>
      <c r="DV19" s="239" t="s">
        <v>395</v>
      </c>
      <c r="DW19" s="239" t="s">
        <v>395</v>
      </c>
      <c r="DX19" s="239" t="s">
        <v>395</v>
      </c>
      <c r="DY19" s="239" t="s">
        <v>395</v>
      </c>
      <c r="DZ19" s="239" t="s">
        <v>395</v>
      </c>
      <c r="EG19" t="s">
        <v>204</v>
      </c>
      <c r="EH19" s="41">
        <v>7500</v>
      </c>
      <c r="EI19" s="41">
        <v>7500</v>
      </c>
      <c r="EJ19" s="236" t="s">
        <v>338</v>
      </c>
      <c r="EK19" s="236" t="s">
        <v>338</v>
      </c>
    </row>
    <row r="20" spans="1:141" ht="17.25" customHeight="1" x14ac:dyDescent="0.25">
      <c r="A20" s="11" t="s">
        <v>21</v>
      </c>
      <c r="B20" t="s">
        <v>2</v>
      </c>
      <c r="C20" s="21"/>
      <c r="D20" s="22"/>
      <c r="E20" s="22"/>
      <c r="F20" s="22"/>
      <c r="G20" s="22"/>
      <c r="H20" s="22"/>
      <c r="I20" s="22" t="s">
        <v>2</v>
      </c>
      <c r="J20" s="231" t="s">
        <v>2</v>
      </c>
      <c r="K20" s="231" t="s">
        <v>2</v>
      </c>
      <c r="L20" s="231" t="s">
        <v>2</v>
      </c>
      <c r="M20" s="162" t="s">
        <v>2</v>
      </c>
      <c r="O20" s="334" t="s">
        <v>91</v>
      </c>
      <c r="P20" s="28" t="str">
        <f>$P$3</f>
        <v xml:space="preserve">  RFA 2023-102</v>
      </c>
      <c r="Q20" s="28" t="str">
        <f>$Q$3</f>
        <v xml:space="preserve">  RFA 2023-102SF</v>
      </c>
      <c r="R20" s="28" t="str">
        <f>$R$3</f>
        <v xml:space="preserve">  RFA 2023-103</v>
      </c>
      <c r="S20" s="28" t="str">
        <f>$S$3</f>
        <v xml:space="preserve">  RFA 2023-103SF</v>
      </c>
      <c r="T20" s="28" t="str">
        <f>$T$3</f>
        <v xml:space="preserve">  RFA 2023-104</v>
      </c>
      <c r="U20" s="28" t="str">
        <f>$U$3</f>
        <v xml:space="preserve">  RFA 2023-104SF</v>
      </c>
      <c r="V20" s="28" t="str">
        <f>$V$3</f>
        <v xml:space="preserve">  RFA 2023-105</v>
      </c>
      <c r="W20" s="28" t="str">
        <f>$W$3</f>
        <v xml:space="preserve">  RFA 2023-106</v>
      </c>
      <c r="X20" s="28" t="str">
        <f>$X$3</f>
        <v xml:space="preserve">  RFA 2023-106SF</v>
      </c>
      <c r="Y20" s="28" t="str">
        <f>$Y$3</f>
        <v xml:space="preserve">  RFA 2023-108</v>
      </c>
      <c r="Z20" s="167" t="str">
        <f>$Z$3</f>
        <v xml:space="preserve">  RFA 2023-201</v>
      </c>
      <c r="AA20" s="167" t="str">
        <f>$AA$3</f>
        <v xml:space="preserve">  RFA 2023-202</v>
      </c>
      <c r="AB20" s="167" t="str">
        <f>$AB$3</f>
        <v xml:space="preserve">  RFA 2023-202SF</v>
      </c>
      <c r="AC20" s="167" t="str">
        <f>$AC$3</f>
        <v xml:space="preserve">  RFA 2023-203SF</v>
      </c>
      <c r="AD20" s="167" t="s">
        <v>267</v>
      </c>
      <c r="AE20" s="167" t="s">
        <v>268</v>
      </c>
      <c r="AF20" s="167" t="str">
        <f>$AF$3</f>
        <v xml:space="preserve">  RFA 2023-205</v>
      </c>
      <c r="AG20" s="167" t="str">
        <f>$AG$3</f>
        <v xml:space="preserve">  RFA 2023-205SF</v>
      </c>
      <c r="AH20" s="214" t="str">
        <f>$AH$3</f>
        <v xml:space="preserve">  RFA 2023-211</v>
      </c>
      <c r="AI20" s="167" t="str">
        <f>$AI$3</f>
        <v xml:space="preserve">  RFA 2023-212</v>
      </c>
      <c r="AJ20" s="167" t="str">
        <f>$AJ$3</f>
        <v xml:space="preserve">  RFA 2023-213</v>
      </c>
      <c r="AK20" s="167" t="str">
        <f>AK$3</f>
        <v xml:space="preserve">  RFA 2023-213SF</v>
      </c>
      <c r="AL20" s="214" t="str">
        <f>$AL$3</f>
        <v xml:space="preserve">  RFA 2023-304</v>
      </c>
      <c r="AM20" s="167" t="str">
        <f>$AM$3</f>
        <v xml:space="preserve">  RFA 2024-102</v>
      </c>
      <c r="AN20" s="167" t="str">
        <f>$AN$3</f>
        <v xml:space="preserve">  RFA 2024-102SF</v>
      </c>
      <c r="AO20" s="167" t="str">
        <f>$AO$3</f>
        <v xml:space="preserve">  RFA 2024-103</v>
      </c>
      <c r="AP20" s="167" t="str">
        <f>$AP$3</f>
        <v xml:space="preserve">  RFA 2024-103SF</v>
      </c>
      <c r="AQ20" s="167" t="str">
        <f>$AQ$3</f>
        <v xml:space="preserve">  RFA 2024-104</v>
      </c>
      <c r="AR20" s="167" t="str">
        <f>$AR$3</f>
        <v xml:space="preserve">  RFA 2024-104SF</v>
      </c>
      <c r="AS20" s="167" t="str">
        <f>$AS$3</f>
        <v xml:space="preserve">  RFA 2024-105</v>
      </c>
      <c r="AT20" s="167" t="str">
        <f t="shared" ref="AT20:BC20" si="19">AT3</f>
        <v xml:space="preserve">  RFA 2024-106</v>
      </c>
      <c r="AU20" s="167" t="str">
        <f t="shared" si="19"/>
        <v xml:space="preserve">  RFA 2024-106SF</v>
      </c>
      <c r="AV20" s="167" t="str">
        <f t="shared" si="19"/>
        <v xml:space="preserve">  RFA 2024-201</v>
      </c>
      <c r="AW20" s="167" t="str">
        <f t="shared" si="19"/>
        <v xml:space="preserve">  RFA 2024-202</v>
      </c>
      <c r="AX20" s="167" t="str">
        <f t="shared" si="19"/>
        <v xml:space="preserve">  RFA 2024-202SF</v>
      </c>
      <c r="AY20" s="167" t="str">
        <f t="shared" si="19"/>
        <v xml:space="preserve">  RFA 2024-203</v>
      </c>
      <c r="AZ20" s="167" t="str">
        <f t="shared" si="19"/>
        <v xml:space="preserve">  RFA 2024-204</v>
      </c>
      <c r="BA20" s="167" t="str">
        <f t="shared" si="19"/>
        <v xml:space="preserve">  RFA 2024-204SF</v>
      </c>
      <c r="BB20" s="167" t="str">
        <f t="shared" si="19"/>
        <v xml:space="preserve">  RFA 2024-205</v>
      </c>
      <c r="BC20" s="167" t="str">
        <f t="shared" si="19"/>
        <v xml:space="preserve">  RFA 2024-205SF</v>
      </c>
      <c r="BD20" s="167" t="str">
        <f>$BD$3</f>
        <v xml:space="preserve">  RFA 2024-206</v>
      </c>
      <c r="BE20" s="167" t="str">
        <f t="shared" ref="BE20:BY20" si="20">BE3</f>
        <v xml:space="preserve">  RFA 2024-206SF</v>
      </c>
      <c r="BF20" s="167" t="str">
        <f>$BF$3</f>
        <v xml:space="preserve">  RFA 2024-213</v>
      </c>
      <c r="BG20" s="167" t="str">
        <f>$BG$3</f>
        <v xml:space="preserve">  RFA 2024-213SF</v>
      </c>
      <c r="BH20" s="167" t="str">
        <f t="shared" si="20"/>
        <v xml:space="preserve">  RFA 2024-214</v>
      </c>
      <c r="BI20" s="167" t="str">
        <f t="shared" si="20"/>
        <v xml:space="preserve">  RFA 2024-214SF</v>
      </c>
      <c r="BJ20" s="167" t="str">
        <f t="shared" si="20"/>
        <v xml:space="preserve">  RFA 2024-215</v>
      </c>
      <c r="BK20" s="167" t="str">
        <f t="shared" si="20"/>
        <v xml:space="preserve">  RFA 2024-215SF</v>
      </c>
      <c r="BL20" s="167" t="str">
        <f t="shared" si="20"/>
        <v xml:space="preserve">  RFA 2024-216</v>
      </c>
      <c r="BM20" s="167" t="str">
        <f t="shared" si="20"/>
        <v xml:space="preserve">  RFA 2024-216SF</v>
      </c>
      <c r="BN20" s="167" t="str">
        <f t="shared" si="20"/>
        <v xml:space="preserve">  RFA 2024-305</v>
      </c>
      <c r="BO20" s="167" t="str">
        <f t="shared" si="20"/>
        <v xml:space="preserve">  RFA 2024-305SF</v>
      </c>
      <c r="BP20" s="167" t="str">
        <f t="shared" si="20"/>
        <v xml:space="preserve">  RFA 2024-306</v>
      </c>
      <c r="BQ20" s="167" t="str">
        <f t="shared" ref="BQ20:BW20" si="21">BQ3</f>
        <v xml:space="preserve">  RFA 2024-306SF</v>
      </c>
      <c r="BR20" s="167" t="str">
        <f t="shared" si="20"/>
        <v xml:space="preserve">  RFA 2025-102</v>
      </c>
      <c r="BS20" s="167" t="str">
        <f t="shared" si="21"/>
        <v xml:space="preserve">  RFA 2025-102SF</v>
      </c>
      <c r="BT20" s="167" t="str">
        <f t="shared" si="20"/>
        <v xml:space="preserve">  RFA 2025-103</v>
      </c>
      <c r="BU20" s="167" t="str">
        <f t="shared" si="21"/>
        <v xml:space="preserve">  RFA 2025-103SF</v>
      </c>
      <c r="BV20" s="167" t="str">
        <f t="shared" si="20"/>
        <v xml:space="preserve">  RFA 2025-104</v>
      </c>
      <c r="BW20" s="167" t="str">
        <f t="shared" si="21"/>
        <v xml:space="preserve">  RFA 2025-104SF</v>
      </c>
      <c r="BX20" s="167" t="str">
        <f t="shared" si="20"/>
        <v xml:space="preserve">  RFA 2025-106</v>
      </c>
      <c r="BY20" s="167" t="str">
        <f t="shared" si="20"/>
        <v xml:space="preserve">  RFA 2025-106SF</v>
      </c>
      <c r="BZ20" s="167" t="str">
        <f>$BZ$3</f>
        <v xml:space="preserve">  RFA 2025-108</v>
      </c>
      <c r="CA20" s="167" t="str">
        <f>$CA$3</f>
        <v xml:space="preserve">  RFA 2025-108SF</v>
      </c>
      <c r="CB20" s="167" t="str">
        <f t="shared" ref="CB20:CI20" si="22">CB3</f>
        <v xml:space="preserve">  RFA 2025-201</v>
      </c>
      <c r="CC20" s="167" t="str">
        <f t="shared" si="22"/>
        <v xml:space="preserve">  RFA 2025-202</v>
      </c>
      <c r="CD20" s="167" t="str">
        <f t="shared" si="22"/>
        <v xml:space="preserve">  RFA 2025-202SF</v>
      </c>
      <c r="CE20" s="167" t="str">
        <f t="shared" si="22"/>
        <v xml:space="preserve">  RFA 2025-203</v>
      </c>
      <c r="CF20" s="167" t="str">
        <f t="shared" si="22"/>
        <v xml:space="preserve">  RFA 2025-204</v>
      </c>
      <c r="CG20" s="167" t="str">
        <f t="shared" si="22"/>
        <v xml:space="preserve">  RFA 2025-204SF</v>
      </c>
      <c r="CH20" s="167" t="str">
        <f t="shared" si="22"/>
        <v xml:space="preserve">  RFA 2025-205</v>
      </c>
      <c r="CI20" s="167" t="str">
        <f t="shared" si="22"/>
        <v xml:space="preserve">  RFA 2025-205SF</v>
      </c>
      <c r="CJ20" s="167" t="str">
        <f t="shared" ref="CJ20:CK20" si="23">CJ3</f>
        <v xml:space="preserve">  RFA 2025-206</v>
      </c>
      <c r="CK20" s="167" t="str">
        <f t="shared" si="23"/>
        <v xml:space="preserve">  RFA 2025-206SF</v>
      </c>
      <c r="CL20" s="167" t="str">
        <f>CL11</f>
        <v xml:space="preserve">  RFA 2025-212</v>
      </c>
      <c r="CM20" s="167" t="str">
        <f>CM11</f>
        <v xml:space="preserve">  RFA 2025-212SF</v>
      </c>
      <c r="CN20" s="167" t="str">
        <f>CN11</f>
        <v xml:space="preserve">  RFA 2025-213</v>
      </c>
      <c r="CO20" s="167" t="str">
        <f>CO11</f>
        <v xml:space="preserve">  RFA 2025-213SF</v>
      </c>
      <c r="CP20" s="167" t="str">
        <f t="shared" ref="CP20:CY20" si="24">CP3</f>
        <v xml:space="preserve">  RFA 2025-214</v>
      </c>
      <c r="CQ20" s="167" t="str">
        <f t="shared" si="24"/>
        <v xml:space="preserve">  RFA 2025-214SF</v>
      </c>
      <c r="CR20" s="167" t="str">
        <f t="shared" si="24"/>
        <v xml:space="preserve">  RFA 2025-215</v>
      </c>
      <c r="CS20" s="167" t="str">
        <f t="shared" si="24"/>
        <v xml:space="preserve">  RFA 2025-215SF</v>
      </c>
      <c r="CT20" s="167" t="str">
        <f>CT3</f>
        <v xml:space="preserve">  RFA 2025-216</v>
      </c>
      <c r="CU20" s="167" t="str">
        <f>CU3</f>
        <v xml:space="preserve">  RFA 2025-216SF</v>
      </c>
      <c r="CV20" s="167" t="str">
        <f t="shared" si="24"/>
        <v xml:space="preserve">  RFA 2026-102</v>
      </c>
      <c r="CW20" s="167" t="str">
        <f t="shared" si="24"/>
        <v xml:space="preserve">  RFA 2026-102SF</v>
      </c>
      <c r="CX20" s="167" t="str">
        <f t="shared" si="24"/>
        <v xml:space="preserve">  RFA 2026-103</v>
      </c>
      <c r="CY20" s="167" t="str">
        <f t="shared" si="24"/>
        <v xml:space="preserve">  RFA 2026-103SF</v>
      </c>
      <c r="CZ20" s="167" t="str">
        <f>CZ11</f>
        <v xml:space="preserve">  RFA 2026-104</v>
      </c>
      <c r="DA20" s="167" t="str">
        <f>DA11</f>
        <v xml:space="preserve">  RFA 2026-104SF</v>
      </c>
      <c r="DB20" s="167" t="str">
        <f>DB11</f>
        <v xml:space="preserve">  RFA 2026-105</v>
      </c>
      <c r="DC20" s="167" t="str">
        <f t="shared" ref="DC20:DL20" si="25">DC3</f>
        <v xml:space="preserve">  RFA 2026-106</v>
      </c>
      <c r="DD20" s="167" t="str">
        <f t="shared" si="25"/>
        <v xml:space="preserve">  RFA 2026-106SF</v>
      </c>
      <c r="DE20" s="167" t="str">
        <f>$DE$3</f>
        <v xml:space="preserve">  RFA 2026-108</v>
      </c>
      <c r="DF20" s="167" t="str">
        <f>$DF$3</f>
        <v xml:space="preserve">  RFA 2026-108SF</v>
      </c>
      <c r="DG20" s="167" t="str">
        <f t="shared" si="25"/>
        <v xml:space="preserve">  RFA 2026-201</v>
      </c>
      <c r="DH20" s="167" t="str">
        <f t="shared" si="25"/>
        <v xml:space="preserve">  RFA 2026-202</v>
      </c>
      <c r="DI20" s="167" t="str">
        <f t="shared" si="25"/>
        <v xml:space="preserve">  RFA 2026-202SF</v>
      </c>
      <c r="DJ20" s="167" t="str">
        <f t="shared" si="25"/>
        <v xml:space="preserve">  RFA 2026-203</v>
      </c>
      <c r="DK20" s="167" t="str">
        <f t="shared" si="25"/>
        <v xml:space="preserve">  RFA 2026-204</v>
      </c>
      <c r="DL20" s="167" t="str">
        <f t="shared" si="25"/>
        <v xml:space="preserve">  RFA 2026-204SF</v>
      </c>
      <c r="DM20" s="167" t="s">
        <v>422</v>
      </c>
      <c r="DN20" s="167" t="s">
        <v>423</v>
      </c>
      <c r="DO20" s="167" t="str">
        <f t="shared" ref="DO20:DV20" si="26">DO3</f>
        <v xml:space="preserve">  RFA 2026-206</v>
      </c>
      <c r="DP20" s="167" t="str">
        <f t="shared" si="26"/>
        <v xml:space="preserve">  RFA 2026-206SF</v>
      </c>
      <c r="DQ20" s="167" t="str">
        <f t="shared" si="26"/>
        <v xml:space="preserve">  RFA 2026-212</v>
      </c>
      <c r="DR20" s="167" t="str">
        <f t="shared" si="26"/>
        <v xml:space="preserve">  RFA 2026-212SF</v>
      </c>
      <c r="DS20" s="167" t="str">
        <f t="shared" si="26"/>
        <v xml:space="preserve">  RFA 2026-216</v>
      </c>
      <c r="DT20" s="167" t="str">
        <f t="shared" si="26"/>
        <v xml:space="preserve">  RFA 2026-216SF</v>
      </c>
      <c r="DU20" s="167" t="str">
        <f t="shared" si="26"/>
        <v xml:space="preserve">  RFA 2026-218</v>
      </c>
      <c r="DV20" s="167" t="str">
        <f t="shared" si="26"/>
        <v xml:space="preserve">  RFA 2026-218SF</v>
      </c>
      <c r="DW20" s="167" t="str">
        <f>$DW$3</f>
        <v xml:space="preserve">  RFA 2027-103</v>
      </c>
      <c r="DX20" s="167" t="str">
        <f>$DX$3</f>
        <v xml:space="preserve">  RFA 2027-103SF</v>
      </c>
      <c r="DY20" s="167" t="str">
        <f>$DY$3</f>
        <v xml:space="preserve">  RFA 2027-106</v>
      </c>
      <c r="DZ20" s="167" t="str">
        <f>$DZ$3</f>
        <v xml:space="preserve">  RFA 2027-106SF</v>
      </c>
      <c r="EG20" t="s">
        <v>205</v>
      </c>
      <c r="EH20" s="41">
        <v>7500</v>
      </c>
      <c r="EI20" s="41">
        <v>7500</v>
      </c>
      <c r="EJ20" s="41">
        <v>7500</v>
      </c>
      <c r="EK20" s="41">
        <v>7500</v>
      </c>
    </row>
    <row r="21" spans="1:141" x14ac:dyDescent="0.25">
      <c r="A21" s="11" t="s">
        <v>22</v>
      </c>
      <c r="B21" t="s">
        <v>2</v>
      </c>
      <c r="N21" s="3"/>
      <c r="O21" s="335"/>
      <c r="P21" s="14" t="s">
        <v>2</v>
      </c>
      <c r="Q21" s="14" t="s">
        <v>2</v>
      </c>
      <c r="R21" s="14" t="s">
        <v>2</v>
      </c>
      <c r="S21" s="14" t="s">
        <v>2</v>
      </c>
      <c r="T21" s="14" t="s">
        <v>2</v>
      </c>
      <c r="U21" s="14" t="s">
        <v>2</v>
      </c>
      <c r="V21" s="14" t="s">
        <v>2</v>
      </c>
      <c r="W21" s="14" t="s">
        <v>2</v>
      </c>
      <c r="X21" s="14" t="s">
        <v>2</v>
      </c>
      <c r="Y21" s="14" t="s">
        <v>2</v>
      </c>
      <c r="Z21" s="3">
        <v>0.9</v>
      </c>
      <c r="AA21" s="3">
        <v>0.9</v>
      </c>
      <c r="AB21" s="3">
        <v>0.9</v>
      </c>
      <c r="AC21" s="3">
        <v>0.9</v>
      </c>
      <c r="AD21" s="3">
        <v>0.65</v>
      </c>
      <c r="AE21" s="3">
        <v>0.95</v>
      </c>
      <c r="AF21" s="3">
        <v>0.9</v>
      </c>
      <c r="AG21" s="3">
        <v>0.9</v>
      </c>
      <c r="AH21" s="14" t="s">
        <v>2</v>
      </c>
      <c r="AI21" s="3">
        <v>0.9</v>
      </c>
      <c r="AJ21" s="3">
        <v>0.9</v>
      </c>
      <c r="AK21" s="3">
        <v>0.9</v>
      </c>
      <c r="AL21" s="14" t="s">
        <v>2</v>
      </c>
      <c r="AM21" s="3">
        <v>0.65</v>
      </c>
      <c r="AN21" s="3">
        <v>0.9</v>
      </c>
      <c r="AO21" s="3">
        <v>0.9</v>
      </c>
      <c r="AP21" s="3">
        <v>0.9</v>
      </c>
      <c r="AQ21" s="3">
        <v>0.65</v>
      </c>
      <c r="AR21" s="14" t="s">
        <v>2</v>
      </c>
      <c r="AS21" s="14" t="s">
        <v>2</v>
      </c>
      <c r="AT21" s="3">
        <v>0.9</v>
      </c>
      <c r="AU21" s="3">
        <v>0.9</v>
      </c>
      <c r="AV21" s="3">
        <v>0.89</v>
      </c>
      <c r="AW21" s="3">
        <v>0.89</v>
      </c>
      <c r="AX21" s="3">
        <v>0.89</v>
      </c>
      <c r="AY21" s="3">
        <v>0.89</v>
      </c>
      <c r="AZ21" s="3">
        <v>0.89</v>
      </c>
      <c r="BA21" s="3">
        <v>0.89</v>
      </c>
      <c r="BB21" s="3">
        <v>0.89</v>
      </c>
      <c r="BC21" s="3">
        <v>0.89</v>
      </c>
      <c r="BD21" s="3">
        <v>0.65</v>
      </c>
      <c r="BE21" s="14" t="s">
        <v>2</v>
      </c>
      <c r="BF21" s="3">
        <v>0.89</v>
      </c>
      <c r="BG21" s="3">
        <v>0.89</v>
      </c>
      <c r="BH21" s="3">
        <v>0.95</v>
      </c>
      <c r="BI21" s="3">
        <v>0.95</v>
      </c>
      <c r="BJ21" s="3">
        <v>0.89</v>
      </c>
      <c r="BK21" s="3">
        <v>0.89</v>
      </c>
      <c r="BL21" s="3">
        <v>0.65</v>
      </c>
      <c r="BM21" s="3">
        <v>0.89</v>
      </c>
      <c r="BN21" s="3">
        <v>0.65</v>
      </c>
      <c r="BO21" s="14" t="s">
        <v>2</v>
      </c>
      <c r="BP21" s="3">
        <v>0.89</v>
      </c>
      <c r="BQ21" s="3">
        <v>0.89</v>
      </c>
      <c r="BR21" s="3">
        <v>0.89</v>
      </c>
      <c r="BS21" s="3">
        <v>0.89</v>
      </c>
      <c r="BT21" s="3">
        <v>0.89</v>
      </c>
      <c r="BU21" s="3">
        <v>0.89</v>
      </c>
      <c r="BV21" s="3">
        <v>0.89</v>
      </c>
      <c r="BW21" s="3">
        <v>0.89</v>
      </c>
      <c r="BX21" s="3">
        <v>0.89</v>
      </c>
      <c r="BY21" s="3">
        <v>0.89</v>
      </c>
      <c r="BZ21" s="3">
        <v>0.89</v>
      </c>
      <c r="CA21" s="3">
        <v>0.89</v>
      </c>
      <c r="CB21" s="3">
        <v>0.89</v>
      </c>
      <c r="CC21" s="3">
        <v>0.89</v>
      </c>
      <c r="CD21" s="3">
        <v>0.89</v>
      </c>
      <c r="CE21" s="3">
        <v>0.89</v>
      </c>
      <c r="CF21" s="3">
        <v>0.89</v>
      </c>
      <c r="CG21" s="3">
        <v>0.89</v>
      </c>
      <c r="CH21" s="3">
        <v>0.89</v>
      </c>
      <c r="CI21" s="3">
        <v>0.89</v>
      </c>
      <c r="CJ21" s="3">
        <v>0.89</v>
      </c>
      <c r="CK21" s="3">
        <v>0.89</v>
      </c>
      <c r="CL21" s="3">
        <v>0.89</v>
      </c>
      <c r="CM21" s="3">
        <v>0.89</v>
      </c>
      <c r="CN21" s="3">
        <v>0.89</v>
      </c>
      <c r="CO21" s="3">
        <v>0.89</v>
      </c>
      <c r="CP21" s="3">
        <v>0.89</v>
      </c>
      <c r="CQ21" s="3">
        <v>0.89</v>
      </c>
      <c r="CR21" s="3">
        <v>0.89</v>
      </c>
      <c r="CS21" s="3">
        <v>0.89</v>
      </c>
      <c r="CT21" s="3">
        <v>0.89</v>
      </c>
      <c r="CU21" s="3">
        <v>0.89</v>
      </c>
      <c r="CV21" s="3">
        <v>0.89</v>
      </c>
      <c r="CW21" s="3">
        <v>0.89</v>
      </c>
      <c r="CX21" s="3">
        <v>0.89</v>
      </c>
      <c r="CY21" s="3">
        <v>0.89</v>
      </c>
      <c r="CZ21" s="3">
        <v>0.89</v>
      </c>
      <c r="DA21" s="3">
        <v>0.89</v>
      </c>
      <c r="DB21" s="14" t="s">
        <v>2</v>
      </c>
      <c r="DC21" s="3">
        <v>0.89</v>
      </c>
      <c r="DD21" s="3">
        <v>0.89</v>
      </c>
      <c r="DE21" s="3">
        <v>0.89</v>
      </c>
      <c r="DF21" s="3">
        <v>0.89</v>
      </c>
      <c r="DG21" s="3">
        <v>0.89</v>
      </c>
      <c r="DH21" s="3">
        <v>0.89</v>
      </c>
      <c r="DI21" s="3">
        <v>0.89</v>
      </c>
      <c r="DJ21" s="3">
        <v>0.89</v>
      </c>
      <c r="DK21" s="3">
        <v>0.89</v>
      </c>
      <c r="DL21" s="3">
        <v>0.89</v>
      </c>
      <c r="DM21" s="3">
        <v>0.89</v>
      </c>
      <c r="DN21" s="3">
        <v>0.89</v>
      </c>
      <c r="DO21" s="3">
        <v>0.89</v>
      </c>
      <c r="DP21" s="3">
        <v>0.89</v>
      </c>
      <c r="DQ21" s="3">
        <v>0.89</v>
      </c>
      <c r="DR21" s="3">
        <v>0.89</v>
      </c>
      <c r="DS21" s="3">
        <v>0.89</v>
      </c>
      <c r="DT21" s="3">
        <v>0.89</v>
      </c>
      <c r="DU21" t="s">
        <v>419</v>
      </c>
      <c r="DV21" t="s">
        <v>419</v>
      </c>
      <c r="DW21" s="3">
        <v>0.89</v>
      </c>
      <c r="DX21" s="3">
        <v>0.89</v>
      </c>
      <c r="DY21" s="3">
        <v>0.89</v>
      </c>
      <c r="DZ21" s="3">
        <v>0.89</v>
      </c>
      <c r="EA21" t="s">
        <v>2</v>
      </c>
      <c r="EG21" s="42" t="s">
        <v>207</v>
      </c>
    </row>
    <row r="22" spans="1:141" x14ac:dyDescent="0.25">
      <c r="A22" s="11" t="s">
        <v>23</v>
      </c>
      <c r="B22" t="s">
        <v>2</v>
      </c>
      <c r="N22" s="3"/>
      <c r="O22" s="335"/>
      <c r="P22" s="14" t="s">
        <v>2</v>
      </c>
      <c r="Q22" s="14" t="s">
        <v>2</v>
      </c>
      <c r="R22" s="14" t="s">
        <v>2</v>
      </c>
      <c r="S22" s="14" t="s">
        <v>2</v>
      </c>
      <c r="T22" s="14" t="s">
        <v>2</v>
      </c>
      <c r="U22" s="14" t="s">
        <v>2</v>
      </c>
      <c r="V22" s="14" t="s">
        <v>2</v>
      </c>
      <c r="W22" s="14" t="s">
        <v>2</v>
      </c>
      <c r="X22" s="14" t="s">
        <v>2</v>
      </c>
      <c r="Y22" s="14" t="s">
        <v>2</v>
      </c>
      <c r="Z22" s="3">
        <v>0.9</v>
      </c>
      <c r="AA22" s="3">
        <v>0.9</v>
      </c>
      <c r="AB22" s="3">
        <v>0.9</v>
      </c>
      <c r="AC22" s="3">
        <v>0.9</v>
      </c>
      <c r="AD22" s="3">
        <v>0.5</v>
      </c>
      <c r="AE22" s="14" t="s">
        <v>2</v>
      </c>
      <c r="AF22" s="3">
        <v>0.9</v>
      </c>
      <c r="AG22" s="3">
        <v>0.9</v>
      </c>
      <c r="AH22" s="14" t="s">
        <v>2</v>
      </c>
      <c r="AI22" s="3">
        <v>0.9</v>
      </c>
      <c r="AJ22" s="3">
        <v>0.9</v>
      </c>
      <c r="AK22" s="3">
        <v>0.9</v>
      </c>
      <c r="AL22" s="14" t="s">
        <v>2</v>
      </c>
      <c r="AM22" s="3">
        <v>0.5</v>
      </c>
      <c r="AN22" s="14" t="s">
        <v>2</v>
      </c>
      <c r="AO22" s="3">
        <v>0.9</v>
      </c>
      <c r="AP22" s="3">
        <v>0.9</v>
      </c>
      <c r="AQ22" s="3">
        <v>0.5</v>
      </c>
      <c r="AR22" s="14" t="s">
        <v>2</v>
      </c>
      <c r="AS22" s="14" t="s">
        <v>2</v>
      </c>
      <c r="AT22" s="3">
        <v>0.9</v>
      </c>
      <c r="AU22" s="3">
        <v>0.9</v>
      </c>
      <c r="AV22" s="3">
        <v>0.89</v>
      </c>
      <c r="AW22" s="3">
        <v>0.89</v>
      </c>
      <c r="AX22" s="3">
        <v>0.89</v>
      </c>
      <c r="AY22" s="3">
        <v>0.89</v>
      </c>
      <c r="AZ22" s="14" t="s">
        <v>2</v>
      </c>
      <c r="BA22" s="14" t="s">
        <v>2</v>
      </c>
      <c r="BB22" s="3">
        <v>0.89</v>
      </c>
      <c r="BC22" s="3">
        <v>0.89</v>
      </c>
      <c r="BD22" s="3">
        <v>0.5</v>
      </c>
      <c r="BE22" s="14" t="s">
        <v>2</v>
      </c>
      <c r="BF22" s="3">
        <v>0.89</v>
      </c>
      <c r="BG22" s="3">
        <v>0.89</v>
      </c>
      <c r="BH22" s="3">
        <v>0.65</v>
      </c>
      <c r="BI22" s="14" t="s">
        <v>2</v>
      </c>
      <c r="BJ22" s="3">
        <v>0.89</v>
      </c>
      <c r="BK22" s="3">
        <v>0.89</v>
      </c>
      <c r="BL22" s="3">
        <v>0.5</v>
      </c>
      <c r="BM22" s="14" t="s">
        <v>2</v>
      </c>
      <c r="BN22" s="3">
        <v>0.5</v>
      </c>
      <c r="BO22" s="14" t="s">
        <v>2</v>
      </c>
      <c r="BP22" s="3">
        <v>0.89</v>
      </c>
      <c r="BQ22" s="3">
        <v>0.89</v>
      </c>
      <c r="BR22" s="14" t="s">
        <v>2</v>
      </c>
      <c r="BS22" s="14" t="s">
        <v>2</v>
      </c>
      <c r="BT22" s="14" t="s">
        <v>2</v>
      </c>
      <c r="BU22" s="14" t="s">
        <v>2</v>
      </c>
      <c r="BV22" s="14" t="s">
        <v>2</v>
      </c>
      <c r="BW22" s="14" t="s">
        <v>2</v>
      </c>
      <c r="BX22" s="14" t="s">
        <v>2</v>
      </c>
      <c r="BY22" s="14" t="s">
        <v>2</v>
      </c>
      <c r="BZ22" s="14" t="s">
        <v>2</v>
      </c>
      <c r="CA22" s="14" t="s">
        <v>2</v>
      </c>
      <c r="CB22" s="3">
        <v>0.89</v>
      </c>
      <c r="CC22" s="3">
        <v>0.89</v>
      </c>
      <c r="CD22" s="3">
        <v>0.89</v>
      </c>
      <c r="CE22" s="3">
        <v>0.89</v>
      </c>
      <c r="CF22" s="14" t="s">
        <v>2</v>
      </c>
      <c r="CG22" s="14" t="s">
        <v>2</v>
      </c>
      <c r="CH22" s="14" t="s">
        <v>2</v>
      </c>
      <c r="CI22" s="14" t="s">
        <v>2</v>
      </c>
      <c r="CJ22" s="14" t="s">
        <v>2</v>
      </c>
      <c r="CK22" s="14" t="s">
        <v>2</v>
      </c>
      <c r="CL22" s="14" t="s">
        <v>2</v>
      </c>
      <c r="CM22" s="14" t="s">
        <v>2</v>
      </c>
      <c r="CN22" s="14" t="s">
        <v>2</v>
      </c>
      <c r="CO22" s="14" t="s">
        <v>2</v>
      </c>
      <c r="CP22" s="14" t="s">
        <v>2</v>
      </c>
      <c r="CQ22" s="14" t="s">
        <v>2</v>
      </c>
      <c r="CR22" s="14" t="s">
        <v>2</v>
      </c>
      <c r="CS22" s="14" t="s">
        <v>2</v>
      </c>
      <c r="CT22" s="14" t="s">
        <v>2</v>
      </c>
      <c r="CU22" s="14" t="s">
        <v>2</v>
      </c>
      <c r="CV22" s="3">
        <v>0.89</v>
      </c>
      <c r="CW22" s="3">
        <v>0.89</v>
      </c>
      <c r="CX22" s="3">
        <v>0.89</v>
      </c>
      <c r="CY22" s="3">
        <v>0.89</v>
      </c>
      <c r="CZ22" s="3">
        <v>0.89</v>
      </c>
      <c r="DA22" s="3">
        <v>0.89</v>
      </c>
      <c r="DB22" s="14" t="s">
        <v>2</v>
      </c>
      <c r="DC22" s="3">
        <v>0.89</v>
      </c>
      <c r="DD22" s="3">
        <v>0.89</v>
      </c>
      <c r="DE22" s="14" t="s">
        <v>2</v>
      </c>
      <c r="DF22" s="14" t="s">
        <v>2</v>
      </c>
      <c r="DG22" s="3">
        <v>0.89</v>
      </c>
      <c r="DH22" s="3">
        <v>0.89</v>
      </c>
      <c r="DI22" s="3">
        <v>0.89</v>
      </c>
      <c r="DJ22" s="3">
        <v>0.89</v>
      </c>
      <c r="DK22" s="3">
        <v>0.89</v>
      </c>
      <c r="DL22" s="3">
        <v>0.89</v>
      </c>
      <c r="DM22" s="3">
        <v>0.89</v>
      </c>
      <c r="DN22" s="3">
        <v>0.89</v>
      </c>
      <c r="DO22" s="14" t="s">
        <v>2</v>
      </c>
      <c r="DP22" s="14" t="s">
        <v>2</v>
      </c>
      <c r="DQ22" s="3">
        <v>0.89</v>
      </c>
      <c r="DR22" s="3">
        <v>0.89</v>
      </c>
      <c r="DS22" s="3">
        <v>0.89</v>
      </c>
      <c r="DT22" s="3">
        <v>0.89</v>
      </c>
      <c r="DU22" s="14" t="s">
        <v>2</v>
      </c>
      <c r="DV22" s="14" t="s">
        <v>2</v>
      </c>
      <c r="DW22" s="3">
        <v>0.89</v>
      </c>
      <c r="DX22" s="3">
        <v>0.89</v>
      </c>
      <c r="DY22" s="3">
        <v>0.89</v>
      </c>
      <c r="DZ22" s="3">
        <v>0.89</v>
      </c>
      <c r="EA22" t="s">
        <v>2</v>
      </c>
      <c r="EG22" s="62" t="s">
        <v>175</v>
      </c>
      <c r="EH22" s="61">
        <v>0.95</v>
      </c>
      <c r="EI22" s="61">
        <v>0.95</v>
      </c>
      <c r="EJ22" s="61">
        <v>0.95</v>
      </c>
      <c r="EK22" s="61">
        <v>0.95</v>
      </c>
    </row>
    <row r="23" spans="1:141" x14ac:dyDescent="0.25">
      <c r="A23" s="11" t="s">
        <v>24</v>
      </c>
      <c r="B23" t="s">
        <v>2</v>
      </c>
      <c r="C23" s="328" t="s">
        <v>202</v>
      </c>
      <c r="D23" s="329"/>
      <c r="E23" s="329"/>
      <c r="F23" s="329"/>
      <c r="G23" s="329"/>
      <c r="H23" s="329"/>
      <c r="I23" s="329"/>
      <c r="J23" s="329"/>
      <c r="K23" s="329"/>
      <c r="L23" s="329"/>
      <c r="M23" s="330"/>
      <c r="N23" s="3"/>
      <c r="O23" s="335"/>
      <c r="P23" s="14" t="s">
        <v>2</v>
      </c>
      <c r="Q23" s="14" t="s">
        <v>2</v>
      </c>
      <c r="R23" s="14" t="s">
        <v>2</v>
      </c>
      <c r="S23" s="14" t="s">
        <v>2</v>
      </c>
      <c r="T23" s="14" t="s">
        <v>2</v>
      </c>
      <c r="U23" s="14" t="s">
        <v>2</v>
      </c>
      <c r="V23" s="14" t="s">
        <v>2</v>
      </c>
      <c r="W23" s="14" t="s">
        <v>2</v>
      </c>
      <c r="X23" s="14" t="s">
        <v>2</v>
      </c>
      <c r="Y23" s="14" t="s">
        <v>2</v>
      </c>
      <c r="Z23" s="3">
        <v>0.9</v>
      </c>
      <c r="AA23" s="3">
        <v>0.9</v>
      </c>
      <c r="AB23" s="3">
        <v>0.9</v>
      </c>
      <c r="AC23" s="3">
        <v>0.9</v>
      </c>
      <c r="AD23" s="3">
        <v>0.95</v>
      </c>
      <c r="AE23" s="14" t="s">
        <v>2</v>
      </c>
      <c r="AF23" s="3">
        <v>0.9</v>
      </c>
      <c r="AG23" s="3">
        <v>0.9</v>
      </c>
      <c r="AH23" s="14" t="s">
        <v>2</v>
      </c>
      <c r="AI23" s="3">
        <v>0.9</v>
      </c>
      <c r="AJ23" s="3">
        <v>0.9</v>
      </c>
      <c r="AK23" s="3">
        <v>0.9</v>
      </c>
      <c r="AL23" s="14" t="s">
        <v>2</v>
      </c>
      <c r="AM23" s="3">
        <v>0.9</v>
      </c>
      <c r="AN23" s="14" t="s">
        <v>2</v>
      </c>
      <c r="AO23" s="3">
        <v>0.9</v>
      </c>
      <c r="AP23" s="3">
        <v>0.9</v>
      </c>
      <c r="AQ23" s="14" t="s">
        <v>2</v>
      </c>
      <c r="AR23" s="14" t="s">
        <v>2</v>
      </c>
      <c r="AS23" s="14" t="s">
        <v>2</v>
      </c>
      <c r="AT23" s="3">
        <v>0.9</v>
      </c>
      <c r="AU23" s="3">
        <v>0.9</v>
      </c>
      <c r="AV23" s="3">
        <v>0.65</v>
      </c>
      <c r="AW23" s="3">
        <v>0.95</v>
      </c>
      <c r="AX23" s="3">
        <v>0.95</v>
      </c>
      <c r="AY23" s="3">
        <v>0.95</v>
      </c>
      <c r="AZ23" s="3">
        <v>0.65</v>
      </c>
      <c r="BA23" s="3">
        <v>0.95</v>
      </c>
      <c r="BB23" s="3">
        <v>0.65</v>
      </c>
      <c r="BC23" s="3">
        <v>0.95</v>
      </c>
      <c r="BD23" s="14" t="s">
        <v>2</v>
      </c>
      <c r="BE23" s="14" t="s">
        <v>2</v>
      </c>
      <c r="BF23" s="3">
        <v>0.65</v>
      </c>
      <c r="BG23" s="14" t="s">
        <v>2</v>
      </c>
      <c r="BH23" s="3">
        <v>0.5</v>
      </c>
      <c r="BI23" s="14" t="s">
        <v>2</v>
      </c>
      <c r="BJ23" s="3">
        <v>0.65</v>
      </c>
      <c r="BK23" s="14" t="s">
        <v>2</v>
      </c>
      <c r="BL23" s="3">
        <v>0.89</v>
      </c>
      <c r="BM23" s="14" t="s">
        <v>2</v>
      </c>
      <c r="BN23" s="14" t="s">
        <v>2</v>
      </c>
      <c r="BO23" s="14" t="s">
        <v>2</v>
      </c>
      <c r="BP23" s="14" t="s">
        <v>2</v>
      </c>
      <c r="BQ23" s="14" t="s">
        <v>2</v>
      </c>
      <c r="BR23" s="3">
        <v>0.65</v>
      </c>
      <c r="BS23" s="3">
        <v>0.85</v>
      </c>
      <c r="BT23" s="3">
        <v>0.85</v>
      </c>
      <c r="BU23" s="3">
        <v>0.85</v>
      </c>
      <c r="BV23" s="3">
        <v>0.65</v>
      </c>
      <c r="BW23" s="14" t="s">
        <v>2</v>
      </c>
      <c r="BX23" s="3">
        <v>0.85</v>
      </c>
      <c r="BY23" s="3">
        <v>0.85</v>
      </c>
      <c r="BZ23" s="3">
        <v>0.85</v>
      </c>
      <c r="CA23" s="3">
        <v>0.85</v>
      </c>
      <c r="CB23" s="3">
        <v>0.65</v>
      </c>
      <c r="CC23" s="3">
        <v>0.95</v>
      </c>
      <c r="CD23" s="3">
        <v>0.95</v>
      </c>
      <c r="CE23" s="3">
        <v>0.95</v>
      </c>
      <c r="CF23" s="3">
        <v>0.65</v>
      </c>
      <c r="CG23" s="3">
        <v>0.95</v>
      </c>
      <c r="CH23" s="3">
        <v>0.65</v>
      </c>
      <c r="CI23" s="3">
        <v>0.95</v>
      </c>
      <c r="CJ23" s="3">
        <v>0.65</v>
      </c>
      <c r="CK23" s="14" t="s">
        <v>2</v>
      </c>
      <c r="CL23" s="3">
        <v>0.65</v>
      </c>
      <c r="CM23" s="14" t="s">
        <v>2</v>
      </c>
      <c r="CN23" s="3">
        <v>0.65</v>
      </c>
      <c r="CO23" s="14" t="s">
        <v>2</v>
      </c>
      <c r="CP23" s="3">
        <v>0.65</v>
      </c>
      <c r="CQ23" s="3">
        <v>0.89</v>
      </c>
      <c r="CR23" s="3">
        <v>0.65</v>
      </c>
      <c r="CS23" s="14" t="s">
        <v>2</v>
      </c>
      <c r="CT23" s="3">
        <v>0.65</v>
      </c>
      <c r="CU23" s="14" t="s">
        <v>2</v>
      </c>
      <c r="CV23" s="3">
        <v>0.65</v>
      </c>
      <c r="CW23" s="3">
        <v>0.85</v>
      </c>
      <c r="CX23" s="3">
        <v>0.85</v>
      </c>
      <c r="CY23" s="3">
        <v>0.85</v>
      </c>
      <c r="CZ23" s="3">
        <v>0.65</v>
      </c>
      <c r="DA23" s="14" t="s">
        <v>2</v>
      </c>
      <c r="DB23" s="14" t="s">
        <v>2</v>
      </c>
      <c r="DC23" s="3">
        <v>0.85</v>
      </c>
      <c r="DD23" s="3">
        <v>0.85</v>
      </c>
      <c r="DE23" s="3">
        <v>0.65</v>
      </c>
      <c r="DF23" s="3">
        <v>0.65</v>
      </c>
      <c r="DG23" s="3">
        <v>0.65</v>
      </c>
      <c r="DH23" s="3">
        <v>0.95</v>
      </c>
      <c r="DI23" s="3">
        <v>0.95</v>
      </c>
      <c r="DJ23" s="3">
        <v>0.95</v>
      </c>
      <c r="DK23" s="3">
        <v>0.65</v>
      </c>
      <c r="DL23" s="3">
        <v>0.95</v>
      </c>
      <c r="DM23" s="3">
        <v>0.65</v>
      </c>
      <c r="DN23" s="3">
        <v>0.95</v>
      </c>
      <c r="DO23" s="3">
        <v>0.89</v>
      </c>
      <c r="DP23" s="3">
        <v>0.89</v>
      </c>
      <c r="DQ23" s="3">
        <v>0.65</v>
      </c>
      <c r="DR23" s="14" t="s">
        <v>2</v>
      </c>
      <c r="DS23" s="3">
        <v>0.65</v>
      </c>
      <c r="DT23" s="14" t="s">
        <v>2</v>
      </c>
      <c r="DU23" s="14" t="s">
        <v>2</v>
      </c>
      <c r="DV23" s="14" t="s">
        <v>2</v>
      </c>
      <c r="DW23" s="3">
        <v>0.85</v>
      </c>
      <c r="DX23" s="3">
        <v>0.85</v>
      </c>
      <c r="DY23" s="3">
        <v>0.85</v>
      </c>
      <c r="DZ23" s="3">
        <v>0.85</v>
      </c>
      <c r="EA23" t="s">
        <v>2</v>
      </c>
      <c r="EG23" s="62" t="s">
        <v>176</v>
      </c>
      <c r="EH23" s="61">
        <v>0.9</v>
      </c>
      <c r="EI23" s="61">
        <v>0.85</v>
      </c>
      <c r="EJ23" s="61">
        <v>0.85</v>
      </c>
      <c r="EK23" s="61">
        <v>0.85</v>
      </c>
    </row>
    <row r="24" spans="1:141" ht="30" x14ac:dyDescent="0.25">
      <c r="A24" s="11" t="s">
        <v>25</v>
      </c>
      <c r="B24" t="s">
        <v>2</v>
      </c>
      <c r="C24" s="47"/>
      <c r="D24" s="48"/>
      <c r="E24" s="48"/>
      <c r="F24" s="48"/>
      <c r="G24" s="48"/>
      <c r="H24" s="48"/>
      <c r="I24" s="58" t="s">
        <v>405</v>
      </c>
      <c r="J24" s="58" t="s">
        <v>381</v>
      </c>
      <c r="K24" s="58" t="s">
        <v>313</v>
      </c>
      <c r="L24" s="217" t="s">
        <v>171</v>
      </c>
      <c r="M24" s="220" t="s">
        <v>162</v>
      </c>
      <c r="N24" s="230"/>
      <c r="O24" s="335"/>
      <c r="P24" s="14" t="s">
        <v>2</v>
      </c>
      <c r="Q24" s="14" t="s">
        <v>2</v>
      </c>
      <c r="R24" s="14" t="s">
        <v>2</v>
      </c>
      <c r="S24" s="14" t="s">
        <v>2</v>
      </c>
      <c r="T24" s="14" t="s">
        <v>2</v>
      </c>
      <c r="U24" s="14" t="s">
        <v>2</v>
      </c>
      <c r="V24" s="14" t="s">
        <v>2</v>
      </c>
      <c r="W24" s="14" t="s">
        <v>2</v>
      </c>
      <c r="X24" s="14" t="s">
        <v>2</v>
      </c>
      <c r="Y24" s="14" t="s">
        <v>2</v>
      </c>
      <c r="Z24" s="3">
        <v>0.95</v>
      </c>
      <c r="AA24" s="3">
        <v>0.95</v>
      </c>
      <c r="AB24" s="3">
        <v>0.95</v>
      </c>
      <c r="AC24" s="3">
        <v>0.95</v>
      </c>
      <c r="AD24" s="14" t="s">
        <v>2</v>
      </c>
      <c r="AE24" s="14" t="s">
        <v>2</v>
      </c>
      <c r="AF24" s="3">
        <v>0.95</v>
      </c>
      <c r="AG24" s="3">
        <v>0.95</v>
      </c>
      <c r="AH24" s="14" t="s">
        <v>2</v>
      </c>
      <c r="AI24" s="3">
        <v>0.95</v>
      </c>
      <c r="AJ24" s="3">
        <v>0.95</v>
      </c>
      <c r="AK24" s="3">
        <v>0.95</v>
      </c>
      <c r="AL24" s="14" t="s">
        <v>2</v>
      </c>
      <c r="AM24" s="14" t="s">
        <v>2</v>
      </c>
      <c r="AN24" s="14" t="s">
        <v>2</v>
      </c>
      <c r="AO24" s="3">
        <v>0.95</v>
      </c>
      <c r="AP24" s="3">
        <v>0.95</v>
      </c>
      <c r="AQ24" s="14" t="s">
        <v>2</v>
      </c>
      <c r="AR24" s="14" t="s">
        <v>2</v>
      </c>
      <c r="AS24" s="14" t="s">
        <v>2</v>
      </c>
      <c r="AT24" s="3">
        <v>0.95</v>
      </c>
      <c r="AU24" s="3">
        <v>0.95</v>
      </c>
      <c r="AV24" s="3">
        <v>0.5</v>
      </c>
      <c r="AW24" s="14" t="s">
        <v>2</v>
      </c>
      <c r="AX24" s="14" t="s">
        <v>2</v>
      </c>
      <c r="AY24" s="14" t="s">
        <v>2</v>
      </c>
      <c r="AZ24" s="3">
        <v>0.5</v>
      </c>
      <c r="BA24" s="14" t="s">
        <v>2</v>
      </c>
      <c r="BB24" s="3">
        <v>0.5</v>
      </c>
      <c r="BC24" s="14" t="s">
        <v>2</v>
      </c>
      <c r="BD24" s="14" t="s">
        <v>2</v>
      </c>
      <c r="BE24" s="14" t="s">
        <v>2</v>
      </c>
      <c r="BF24" s="3">
        <v>0.5</v>
      </c>
      <c r="BG24" s="14" t="s">
        <v>2</v>
      </c>
      <c r="BH24" s="14" t="s">
        <v>2</v>
      </c>
      <c r="BI24" s="14" t="s">
        <v>2</v>
      </c>
      <c r="BJ24" s="3">
        <v>0.5</v>
      </c>
      <c r="BK24" s="14" t="s">
        <v>2</v>
      </c>
      <c r="BL24" s="14" t="s">
        <v>2</v>
      </c>
      <c r="BM24" s="14" t="s">
        <v>2</v>
      </c>
      <c r="BN24" s="14" t="s">
        <v>2</v>
      </c>
      <c r="BO24" s="14" t="s">
        <v>2</v>
      </c>
      <c r="BP24" s="14" t="s">
        <v>2</v>
      </c>
      <c r="BQ24" s="14" t="s">
        <v>2</v>
      </c>
      <c r="BR24" s="3">
        <v>0.5</v>
      </c>
      <c r="BS24" s="14" t="s">
        <v>2</v>
      </c>
      <c r="BT24" s="3">
        <v>0.9</v>
      </c>
      <c r="BU24" s="3">
        <v>0.9</v>
      </c>
      <c r="BV24" s="3">
        <v>0.5</v>
      </c>
      <c r="BW24" s="14" t="s">
        <v>2</v>
      </c>
      <c r="BX24" s="3">
        <v>0.9</v>
      </c>
      <c r="BY24" s="3">
        <v>0.9</v>
      </c>
      <c r="BZ24" s="3">
        <v>0.9</v>
      </c>
      <c r="CA24" s="3">
        <v>0.9</v>
      </c>
      <c r="CB24" s="3">
        <v>0.5</v>
      </c>
      <c r="CC24" s="14" t="s">
        <v>2</v>
      </c>
      <c r="CD24" s="14" t="s">
        <v>2</v>
      </c>
      <c r="CE24" s="14" t="s">
        <v>2</v>
      </c>
      <c r="CF24" s="3">
        <v>0.5</v>
      </c>
      <c r="CG24" s="14" t="s">
        <v>2</v>
      </c>
      <c r="CH24" s="3">
        <v>0.5</v>
      </c>
      <c r="CI24" s="14" t="s">
        <v>2</v>
      </c>
      <c r="CJ24" s="3">
        <v>0.5</v>
      </c>
      <c r="CK24" s="14" t="s">
        <v>2</v>
      </c>
      <c r="CL24" s="3">
        <v>0.5</v>
      </c>
      <c r="CM24" s="14" t="s">
        <v>2</v>
      </c>
      <c r="CN24" s="3">
        <v>0.5</v>
      </c>
      <c r="CO24" s="14" t="s">
        <v>2</v>
      </c>
      <c r="CP24" s="3">
        <v>0.5</v>
      </c>
      <c r="CQ24" s="14" t="s">
        <v>2</v>
      </c>
      <c r="CR24" s="3">
        <v>0.5</v>
      </c>
      <c r="CS24" s="14" t="s">
        <v>2</v>
      </c>
      <c r="CT24" s="3">
        <v>0.5</v>
      </c>
      <c r="CU24" s="14" t="s">
        <v>2</v>
      </c>
      <c r="CV24" s="3">
        <v>0.5</v>
      </c>
      <c r="CW24" s="14" t="s">
        <v>2</v>
      </c>
      <c r="CX24" s="3">
        <v>0.9</v>
      </c>
      <c r="CY24" s="3">
        <v>0.9</v>
      </c>
      <c r="CZ24" s="3">
        <v>0.5</v>
      </c>
      <c r="DA24" s="14" t="s">
        <v>2</v>
      </c>
      <c r="DB24" s="14" t="s">
        <v>2</v>
      </c>
      <c r="DC24" s="3">
        <v>0.9</v>
      </c>
      <c r="DD24" s="3">
        <v>0.9</v>
      </c>
      <c r="DE24" s="3">
        <v>0.5</v>
      </c>
      <c r="DF24" s="3">
        <v>0.5</v>
      </c>
      <c r="DG24" s="3">
        <v>0.5</v>
      </c>
      <c r="DH24" s="14" t="s">
        <v>2</v>
      </c>
      <c r="DI24" s="14" t="s">
        <v>2</v>
      </c>
      <c r="DJ24" s="14" t="s">
        <v>2</v>
      </c>
      <c r="DK24" s="3">
        <v>0.5</v>
      </c>
      <c r="DL24" s="14" t="s">
        <v>2</v>
      </c>
      <c r="DM24" s="3">
        <v>0.5</v>
      </c>
      <c r="DN24" s="14" t="s">
        <v>2</v>
      </c>
      <c r="DO24" s="14" t="s">
        <v>2</v>
      </c>
      <c r="DP24" s="14" t="s">
        <v>2</v>
      </c>
      <c r="DQ24" s="3">
        <v>0.5</v>
      </c>
      <c r="DR24" s="14" t="s">
        <v>2</v>
      </c>
      <c r="DS24" s="3">
        <v>0.5</v>
      </c>
      <c r="DT24" s="14" t="s">
        <v>2</v>
      </c>
      <c r="DU24" s="14" t="s">
        <v>2</v>
      </c>
      <c r="DV24" s="14" t="s">
        <v>2</v>
      </c>
      <c r="DW24" s="3">
        <v>0.9</v>
      </c>
      <c r="DX24" s="3">
        <v>0.9</v>
      </c>
      <c r="DY24" s="3">
        <v>0.9</v>
      </c>
      <c r="DZ24" s="3">
        <v>0.9</v>
      </c>
      <c r="EA24" t="s">
        <v>2</v>
      </c>
      <c r="EG24" s="62" t="s">
        <v>177</v>
      </c>
      <c r="EH24" s="61">
        <v>0.9</v>
      </c>
      <c r="EI24" s="61">
        <v>0.85</v>
      </c>
      <c r="EJ24" s="61">
        <v>0.85</v>
      </c>
      <c r="EK24" s="61">
        <v>0.85</v>
      </c>
    </row>
    <row r="25" spans="1:141" ht="30" x14ac:dyDescent="0.25">
      <c r="A25" s="11" t="s">
        <v>26</v>
      </c>
      <c r="B25" t="s">
        <v>2</v>
      </c>
      <c r="C25" s="19"/>
      <c r="D25" s="20"/>
      <c r="E25" s="20"/>
      <c r="F25" s="20"/>
      <c r="G25" s="20"/>
      <c r="H25" s="20"/>
      <c r="I25" s="58" t="s">
        <v>405</v>
      </c>
      <c r="J25" s="58" t="s">
        <v>381</v>
      </c>
      <c r="K25" s="58" t="s">
        <v>313</v>
      </c>
      <c r="L25" s="58" t="s">
        <v>171</v>
      </c>
      <c r="M25" s="221" t="s">
        <v>162</v>
      </c>
      <c r="N25" s="230"/>
      <c r="O25" s="335"/>
      <c r="P25" s="14" t="s">
        <v>2</v>
      </c>
      <c r="Q25" s="14" t="s">
        <v>2</v>
      </c>
      <c r="R25" s="14" t="s">
        <v>2</v>
      </c>
      <c r="S25" s="14" t="s">
        <v>2</v>
      </c>
      <c r="T25" s="14" t="s">
        <v>2</v>
      </c>
      <c r="U25" s="14" t="s">
        <v>2</v>
      </c>
      <c r="V25" s="14" t="s">
        <v>2</v>
      </c>
      <c r="W25" s="14" t="s">
        <v>2</v>
      </c>
      <c r="X25" s="14" t="s">
        <v>2</v>
      </c>
      <c r="Y25" s="14" t="s">
        <v>2</v>
      </c>
      <c r="Z25" s="3">
        <v>0.65</v>
      </c>
      <c r="AA25" s="3">
        <v>0.65</v>
      </c>
      <c r="AB25" s="3">
        <v>0.95</v>
      </c>
      <c r="AC25" s="3">
        <v>0.95</v>
      </c>
      <c r="AD25" s="14" t="s">
        <v>2</v>
      </c>
      <c r="AE25" s="14" t="s">
        <v>306</v>
      </c>
      <c r="AF25" s="3">
        <v>0.65</v>
      </c>
      <c r="AG25" s="3">
        <v>0.95</v>
      </c>
      <c r="AH25" s="14" t="s">
        <v>2</v>
      </c>
      <c r="AI25" s="3">
        <v>0.65</v>
      </c>
      <c r="AJ25" s="3">
        <v>0.65</v>
      </c>
      <c r="AK25" s="3">
        <v>0.95</v>
      </c>
      <c r="AL25" s="14" t="s">
        <v>2</v>
      </c>
      <c r="AM25" s="14" t="s">
        <v>2</v>
      </c>
      <c r="AN25" s="14" t="s">
        <v>2</v>
      </c>
      <c r="AO25" s="14" t="s">
        <v>2</v>
      </c>
      <c r="AP25" s="14" t="s">
        <v>2</v>
      </c>
      <c r="AQ25" s="14" t="s">
        <v>2</v>
      </c>
      <c r="AR25" s="14" t="s">
        <v>2</v>
      </c>
      <c r="AS25" s="14" t="s">
        <v>2</v>
      </c>
      <c r="AT25" s="14" t="s">
        <v>2</v>
      </c>
      <c r="AU25" s="14" t="s">
        <v>2</v>
      </c>
      <c r="AV25" s="3">
        <v>0.95</v>
      </c>
      <c r="AW25" s="14" t="s">
        <v>2</v>
      </c>
      <c r="AX25" s="14" t="s">
        <v>2</v>
      </c>
      <c r="AY25" s="14" t="s">
        <v>2</v>
      </c>
      <c r="AZ25" s="3">
        <v>0.95</v>
      </c>
      <c r="BA25" s="14" t="s">
        <v>2</v>
      </c>
      <c r="BB25" s="3">
        <v>0.95</v>
      </c>
      <c r="BC25" s="14" t="s">
        <v>2</v>
      </c>
      <c r="BD25" s="14" t="s">
        <v>2</v>
      </c>
      <c r="BE25" s="14" t="s">
        <v>2</v>
      </c>
      <c r="BF25" s="14" t="s">
        <v>2</v>
      </c>
      <c r="BG25" s="14" t="s">
        <v>2</v>
      </c>
      <c r="BH25" s="14" t="s">
        <v>2</v>
      </c>
      <c r="BI25" s="14" t="s">
        <v>2</v>
      </c>
      <c r="BJ25" s="14" t="s">
        <v>2</v>
      </c>
      <c r="BK25" s="14" t="s">
        <v>2</v>
      </c>
      <c r="BL25" s="14" t="s">
        <v>2</v>
      </c>
      <c r="BM25" s="14" t="s">
        <v>2</v>
      </c>
      <c r="BN25" s="14" t="s">
        <v>2</v>
      </c>
      <c r="BO25" s="14" t="s">
        <v>2</v>
      </c>
      <c r="BP25" s="14" t="s">
        <v>2</v>
      </c>
      <c r="BQ25" s="14" t="s">
        <v>2</v>
      </c>
      <c r="BR25" s="3">
        <v>0.85</v>
      </c>
      <c r="BS25" s="14" t="s">
        <v>2</v>
      </c>
      <c r="BT25" s="3">
        <v>0.85</v>
      </c>
      <c r="BU25" s="3">
        <v>0.85</v>
      </c>
      <c r="BV25" s="14" t="s">
        <v>2</v>
      </c>
      <c r="BW25" s="14" t="s">
        <v>2</v>
      </c>
      <c r="BX25" s="3">
        <v>0.85</v>
      </c>
      <c r="BY25" s="3">
        <v>0.85</v>
      </c>
      <c r="BZ25" s="3">
        <v>0.85</v>
      </c>
      <c r="CA25" s="3">
        <v>0.85</v>
      </c>
      <c r="CB25" s="3">
        <v>0.95</v>
      </c>
      <c r="CC25" s="14" t="s">
        <v>2</v>
      </c>
      <c r="CD25" s="14" t="s">
        <v>2</v>
      </c>
      <c r="CE25" s="14" t="s">
        <v>2</v>
      </c>
      <c r="CF25" s="3">
        <v>0.95</v>
      </c>
      <c r="CG25" s="14" t="s">
        <v>2</v>
      </c>
      <c r="CH25" s="3">
        <v>0.95</v>
      </c>
      <c r="CI25" s="14" t="s">
        <v>2</v>
      </c>
      <c r="CJ25" s="14" t="s">
        <v>2</v>
      </c>
      <c r="CK25" s="14" t="s">
        <v>2</v>
      </c>
      <c r="CL25" s="14" t="s">
        <v>2</v>
      </c>
      <c r="CM25" s="14" t="s">
        <v>2</v>
      </c>
      <c r="CN25" s="14" t="s">
        <v>2</v>
      </c>
      <c r="CO25" s="14" t="s">
        <v>2</v>
      </c>
      <c r="CP25" s="14" t="s">
        <v>2</v>
      </c>
      <c r="CQ25" s="14" t="s">
        <v>2</v>
      </c>
      <c r="CR25" s="14" t="s">
        <v>2</v>
      </c>
      <c r="CS25" s="14" t="s">
        <v>2</v>
      </c>
      <c r="CT25" s="14" t="s">
        <v>2</v>
      </c>
      <c r="CU25" s="14" t="s">
        <v>2</v>
      </c>
      <c r="CV25" s="3">
        <v>0.85</v>
      </c>
      <c r="CW25" s="14" t="s">
        <v>2</v>
      </c>
      <c r="CX25" s="3">
        <v>0.85</v>
      </c>
      <c r="CY25" s="3">
        <v>0.85</v>
      </c>
      <c r="CZ25" s="14" t="s">
        <v>2</v>
      </c>
      <c r="DA25" s="14" t="s">
        <v>2</v>
      </c>
      <c r="DB25" s="14" t="s">
        <v>2</v>
      </c>
      <c r="DC25" s="3">
        <v>0.85</v>
      </c>
      <c r="DD25" s="3">
        <v>0.85</v>
      </c>
      <c r="DE25" s="3">
        <v>0.85</v>
      </c>
      <c r="DF25" s="3">
        <v>0.85</v>
      </c>
      <c r="DG25" s="3">
        <v>0.95</v>
      </c>
      <c r="DH25" s="14" t="s">
        <v>2</v>
      </c>
      <c r="DI25" s="14" t="s">
        <v>2</v>
      </c>
      <c r="DJ25" s="14" t="s">
        <v>2</v>
      </c>
      <c r="DK25" s="3">
        <v>0.95</v>
      </c>
      <c r="DL25" s="14" t="s">
        <v>2</v>
      </c>
      <c r="DM25" s="3">
        <v>0.95</v>
      </c>
      <c r="DN25" s="14" t="s">
        <v>2</v>
      </c>
      <c r="DO25" s="14" t="s">
        <v>2</v>
      </c>
      <c r="DP25" s="14" t="s">
        <v>2</v>
      </c>
      <c r="DQ25" s="14" t="s">
        <v>2</v>
      </c>
      <c r="DR25" s="14" t="s">
        <v>2</v>
      </c>
      <c r="DS25" s="14" t="s">
        <v>2</v>
      </c>
      <c r="DT25" s="14" t="s">
        <v>2</v>
      </c>
      <c r="DU25" s="14" t="s">
        <v>2</v>
      </c>
      <c r="DV25" s="14" t="s">
        <v>2</v>
      </c>
      <c r="DW25" s="3">
        <v>0.85</v>
      </c>
      <c r="DX25" s="3">
        <v>0.85</v>
      </c>
      <c r="DY25" s="3">
        <v>0.85</v>
      </c>
      <c r="DZ25" s="3">
        <v>0.85</v>
      </c>
      <c r="EA25" t="s">
        <v>2</v>
      </c>
      <c r="EG25" s="62" t="s">
        <v>178</v>
      </c>
      <c r="EH25" s="61">
        <v>0.9</v>
      </c>
      <c r="EI25" s="61">
        <v>0.85</v>
      </c>
      <c r="EJ25" s="61">
        <v>0.85</v>
      </c>
      <c r="EK25" s="61">
        <v>0.85</v>
      </c>
    </row>
    <row r="26" spans="1:141" ht="30" x14ac:dyDescent="0.25">
      <c r="A26" s="11" t="s">
        <v>27</v>
      </c>
      <c r="B26" t="s">
        <v>2</v>
      </c>
      <c r="C26" s="19"/>
      <c r="D26" s="20"/>
      <c r="E26" s="20"/>
      <c r="F26" s="20"/>
      <c r="G26" s="20"/>
      <c r="H26" s="20"/>
      <c r="I26" s="20"/>
      <c r="J26" s="58" t="s">
        <v>381</v>
      </c>
      <c r="K26" s="58" t="s">
        <v>313</v>
      </c>
      <c r="L26" s="58" t="s">
        <v>171</v>
      </c>
      <c r="M26" s="221" t="s">
        <v>162</v>
      </c>
      <c r="N26" s="230"/>
      <c r="O26" s="335"/>
      <c r="P26" s="14" t="s">
        <v>2</v>
      </c>
      <c r="Q26" s="14" t="s">
        <v>2</v>
      </c>
      <c r="R26" s="14" t="s">
        <v>2</v>
      </c>
      <c r="S26" s="14" t="s">
        <v>2</v>
      </c>
      <c r="T26" s="14" t="s">
        <v>2</v>
      </c>
      <c r="U26" s="14" t="s">
        <v>2</v>
      </c>
      <c r="V26" s="14" t="s">
        <v>2</v>
      </c>
      <c r="W26" s="14" t="s">
        <v>2</v>
      </c>
      <c r="X26" s="14" t="s">
        <v>2</v>
      </c>
      <c r="Y26" s="14" t="s">
        <v>2</v>
      </c>
      <c r="Z26" s="3">
        <v>0.5</v>
      </c>
      <c r="AA26" s="3">
        <v>0.5</v>
      </c>
      <c r="AB26" s="14" t="s">
        <v>2</v>
      </c>
      <c r="AC26" s="14" t="s">
        <v>2</v>
      </c>
      <c r="AD26" s="14" t="s">
        <v>2</v>
      </c>
      <c r="AE26" s="14" t="s">
        <v>2</v>
      </c>
      <c r="AF26" s="3">
        <v>0.5</v>
      </c>
      <c r="AG26" s="14" t="s">
        <v>2</v>
      </c>
      <c r="AH26" s="14" t="s">
        <v>2</v>
      </c>
      <c r="AI26" s="3">
        <v>0.5</v>
      </c>
      <c r="AJ26" s="3">
        <v>0.5</v>
      </c>
      <c r="AK26" s="14" t="s">
        <v>2</v>
      </c>
      <c r="AL26" s="14" t="s">
        <v>2</v>
      </c>
      <c r="AM26" s="14" t="s">
        <v>2</v>
      </c>
      <c r="AN26" s="14" t="s">
        <v>2</v>
      </c>
      <c r="AO26" s="14" t="s">
        <v>2</v>
      </c>
      <c r="AP26" s="14" t="s">
        <v>2</v>
      </c>
      <c r="AQ26" s="14" t="s">
        <v>2</v>
      </c>
      <c r="AR26" s="14" t="s">
        <v>2</v>
      </c>
      <c r="AS26" s="14" t="s">
        <v>2</v>
      </c>
      <c r="AT26" s="14" t="s">
        <v>2</v>
      </c>
      <c r="AU26" s="14" t="s">
        <v>2</v>
      </c>
      <c r="AV26" s="14" t="s">
        <v>2</v>
      </c>
      <c r="AW26" s="14" t="s">
        <v>2</v>
      </c>
      <c r="AX26" s="14" t="s">
        <v>2</v>
      </c>
      <c r="AY26" s="14" t="s">
        <v>2</v>
      </c>
      <c r="AZ26" s="14" t="s">
        <v>2</v>
      </c>
      <c r="BA26" s="14" t="s">
        <v>2</v>
      </c>
      <c r="BB26" s="14" t="s">
        <v>2</v>
      </c>
      <c r="BC26" s="14" t="s">
        <v>2</v>
      </c>
      <c r="BD26" s="14" t="s">
        <v>2</v>
      </c>
      <c r="BE26" s="14" t="s">
        <v>2</v>
      </c>
      <c r="BF26" s="14" t="s">
        <v>2</v>
      </c>
      <c r="BG26" s="14" t="s">
        <v>2</v>
      </c>
      <c r="BH26" s="14" t="s">
        <v>2</v>
      </c>
      <c r="BI26" s="14" t="s">
        <v>2</v>
      </c>
      <c r="BJ26" s="14" t="s">
        <v>2</v>
      </c>
      <c r="BK26" s="14" t="s">
        <v>2</v>
      </c>
      <c r="BL26" s="14" t="s">
        <v>2</v>
      </c>
      <c r="BM26" s="14" t="s">
        <v>2</v>
      </c>
      <c r="BN26" s="14" t="s">
        <v>2</v>
      </c>
      <c r="BO26" s="14" t="s">
        <v>2</v>
      </c>
      <c r="BP26" s="14" t="s">
        <v>2</v>
      </c>
      <c r="BQ26" s="14" t="s">
        <v>2</v>
      </c>
      <c r="BR26" s="14" t="s">
        <v>2</v>
      </c>
      <c r="BS26" s="14" t="s">
        <v>2</v>
      </c>
      <c r="BT26" s="14" t="s">
        <v>2</v>
      </c>
      <c r="BU26" s="14" t="s">
        <v>2</v>
      </c>
      <c r="BV26" s="14" t="s">
        <v>2</v>
      </c>
      <c r="BW26" s="14" t="s">
        <v>2</v>
      </c>
      <c r="BX26" s="14" t="s">
        <v>2</v>
      </c>
      <c r="BY26" s="14" t="s">
        <v>2</v>
      </c>
      <c r="BZ26" s="14" t="s">
        <v>2</v>
      </c>
      <c r="CA26" s="14" t="s">
        <v>2</v>
      </c>
      <c r="CB26" s="14" t="s">
        <v>2</v>
      </c>
      <c r="CC26" s="14" t="s">
        <v>2</v>
      </c>
      <c r="CD26" s="14" t="s">
        <v>2</v>
      </c>
      <c r="CE26" s="14" t="s">
        <v>2</v>
      </c>
      <c r="CF26" s="14" t="s">
        <v>2</v>
      </c>
      <c r="CG26" s="14" t="s">
        <v>2</v>
      </c>
      <c r="CH26" s="14" t="s">
        <v>2</v>
      </c>
      <c r="CI26" s="14" t="s">
        <v>2</v>
      </c>
      <c r="CJ26" s="14" t="s">
        <v>2</v>
      </c>
      <c r="CK26" s="14" t="s">
        <v>2</v>
      </c>
      <c r="CL26" s="14" t="s">
        <v>2</v>
      </c>
      <c r="CM26" s="14" t="s">
        <v>2</v>
      </c>
      <c r="CN26" s="14" t="s">
        <v>2</v>
      </c>
      <c r="CO26" s="14" t="s">
        <v>2</v>
      </c>
      <c r="CP26" s="14" t="s">
        <v>2</v>
      </c>
      <c r="CQ26" s="14" t="s">
        <v>2</v>
      </c>
      <c r="CR26" s="14" t="s">
        <v>2</v>
      </c>
      <c r="CS26" s="14" t="s">
        <v>2</v>
      </c>
      <c r="CT26" s="14" t="s">
        <v>2</v>
      </c>
      <c r="CU26" s="14" t="s">
        <v>2</v>
      </c>
      <c r="CV26" s="14" t="s">
        <v>2</v>
      </c>
      <c r="CW26" s="14" t="s">
        <v>2</v>
      </c>
      <c r="CX26" s="14" t="s">
        <v>2</v>
      </c>
      <c r="CY26" s="14" t="s">
        <v>2</v>
      </c>
      <c r="CZ26" s="14" t="s">
        <v>2</v>
      </c>
      <c r="DA26" s="14" t="s">
        <v>2</v>
      </c>
      <c r="DB26" s="14" t="s">
        <v>2</v>
      </c>
      <c r="DC26" s="14" t="s">
        <v>2</v>
      </c>
      <c r="DD26" s="14" t="s">
        <v>2</v>
      </c>
      <c r="DE26" s="14" t="s">
        <v>2</v>
      </c>
      <c r="DF26" s="14" t="s">
        <v>2</v>
      </c>
      <c r="DG26" s="14" t="s">
        <v>2</v>
      </c>
      <c r="DH26" s="14" t="s">
        <v>2</v>
      </c>
      <c r="DI26" s="14" t="s">
        <v>2</v>
      </c>
      <c r="DJ26" s="14" t="s">
        <v>2</v>
      </c>
      <c r="DK26" s="14" t="s">
        <v>2</v>
      </c>
      <c r="DL26" s="14" t="s">
        <v>2</v>
      </c>
      <c r="DM26" s="14" t="s">
        <v>2</v>
      </c>
      <c r="DN26" s="14" t="s">
        <v>2</v>
      </c>
      <c r="DO26" s="14" t="s">
        <v>2</v>
      </c>
      <c r="DP26" s="14" t="s">
        <v>2</v>
      </c>
      <c r="DQ26" s="14" t="s">
        <v>2</v>
      </c>
      <c r="DR26" s="14" t="s">
        <v>2</v>
      </c>
      <c r="DS26" s="14" t="s">
        <v>2</v>
      </c>
      <c r="DT26" s="14" t="s">
        <v>2</v>
      </c>
      <c r="DU26" s="14" t="s">
        <v>2</v>
      </c>
      <c r="DV26" s="14" t="s">
        <v>2</v>
      </c>
      <c r="DW26" s="14" t="s">
        <v>2</v>
      </c>
      <c r="DX26" s="14" t="s">
        <v>2</v>
      </c>
      <c r="DY26" s="14" t="s">
        <v>2</v>
      </c>
      <c r="DZ26" s="14" t="s">
        <v>2</v>
      </c>
      <c r="EG26" s="62" t="s">
        <v>179</v>
      </c>
      <c r="EH26" s="61">
        <v>0.95</v>
      </c>
      <c r="EI26" s="61">
        <v>0.9</v>
      </c>
      <c r="EJ26" s="61">
        <v>0.9</v>
      </c>
      <c r="EK26" s="61">
        <v>0.9</v>
      </c>
    </row>
    <row r="27" spans="1:141" ht="60" x14ac:dyDescent="0.25">
      <c r="A27" s="11" t="s">
        <v>28</v>
      </c>
      <c r="B27" t="s">
        <v>2</v>
      </c>
      <c r="C27" s="19"/>
      <c r="D27" s="20"/>
      <c r="E27" s="20"/>
      <c r="F27" s="20"/>
      <c r="G27" s="20"/>
      <c r="H27" s="20"/>
      <c r="I27" s="20"/>
      <c r="J27" s="58" t="s">
        <v>381</v>
      </c>
      <c r="K27" s="58" t="s">
        <v>313</v>
      </c>
      <c r="L27" s="58" t="s">
        <v>171</v>
      </c>
      <c r="M27" s="221" t="s">
        <v>162</v>
      </c>
      <c r="N27" s="230"/>
      <c r="O27" s="336"/>
      <c r="P27" s="15" t="s">
        <v>2</v>
      </c>
      <c r="Q27" s="15" t="s">
        <v>2</v>
      </c>
      <c r="R27" s="15" t="s">
        <v>2</v>
      </c>
      <c r="S27" s="15" t="s">
        <v>2</v>
      </c>
      <c r="T27" s="15" t="s">
        <v>2</v>
      </c>
      <c r="U27" s="15" t="s">
        <v>2</v>
      </c>
      <c r="V27" s="15" t="s">
        <v>2</v>
      </c>
      <c r="W27" s="15" t="s">
        <v>2</v>
      </c>
      <c r="X27" s="15" t="s">
        <v>2</v>
      </c>
      <c r="Y27" s="15" t="s">
        <v>2</v>
      </c>
      <c r="Z27" s="4">
        <v>0.95</v>
      </c>
      <c r="AA27" s="4">
        <v>0.95</v>
      </c>
      <c r="AB27" s="15" t="s">
        <v>2</v>
      </c>
      <c r="AC27" s="15" t="s">
        <v>2</v>
      </c>
      <c r="AD27" s="15" t="s">
        <v>2</v>
      </c>
      <c r="AE27" s="15" t="s">
        <v>2</v>
      </c>
      <c r="AF27" s="4">
        <v>0.95</v>
      </c>
      <c r="AG27" s="15" t="s">
        <v>2</v>
      </c>
      <c r="AH27" s="15" t="s">
        <v>2</v>
      </c>
      <c r="AI27" s="4">
        <v>0.95</v>
      </c>
      <c r="AJ27" s="4">
        <v>0.95</v>
      </c>
      <c r="AK27" s="15" t="s">
        <v>2</v>
      </c>
      <c r="AL27" s="15" t="s">
        <v>2</v>
      </c>
      <c r="AM27" s="15" t="s">
        <v>2</v>
      </c>
      <c r="AN27" s="15" t="s">
        <v>2</v>
      </c>
      <c r="AO27" s="15" t="s">
        <v>2</v>
      </c>
      <c r="AP27" s="15" t="s">
        <v>2</v>
      </c>
      <c r="AQ27" s="15" t="s">
        <v>2</v>
      </c>
      <c r="AR27" s="15" t="s">
        <v>2</v>
      </c>
      <c r="AS27" s="15" t="s">
        <v>2</v>
      </c>
      <c r="AT27" s="15" t="s">
        <v>2</v>
      </c>
      <c r="AU27" s="15" t="s">
        <v>2</v>
      </c>
      <c r="AV27" s="15" t="s">
        <v>2</v>
      </c>
      <c r="AW27" s="15" t="s">
        <v>2</v>
      </c>
      <c r="AX27" s="15" t="s">
        <v>2</v>
      </c>
      <c r="AY27" s="15" t="s">
        <v>2</v>
      </c>
      <c r="AZ27" s="15" t="s">
        <v>2</v>
      </c>
      <c r="BA27" s="15" t="s">
        <v>2</v>
      </c>
      <c r="BB27" s="15" t="s">
        <v>2</v>
      </c>
      <c r="BC27" s="15" t="s">
        <v>2</v>
      </c>
      <c r="BD27" s="15" t="s">
        <v>2</v>
      </c>
      <c r="BE27" s="15" t="s">
        <v>2</v>
      </c>
      <c r="BF27" s="15" t="s">
        <v>2</v>
      </c>
      <c r="BG27" s="15" t="s">
        <v>2</v>
      </c>
      <c r="BH27" s="15" t="s">
        <v>2</v>
      </c>
      <c r="BI27" s="15" t="s">
        <v>2</v>
      </c>
      <c r="BJ27" s="15" t="s">
        <v>2</v>
      </c>
      <c r="BK27" s="15" t="s">
        <v>2</v>
      </c>
      <c r="BL27" s="15" t="s">
        <v>2</v>
      </c>
      <c r="BM27" s="15" t="s">
        <v>2</v>
      </c>
      <c r="BN27" s="15" t="s">
        <v>2</v>
      </c>
      <c r="BO27" s="15" t="s">
        <v>2</v>
      </c>
      <c r="BP27" s="15" t="s">
        <v>2</v>
      </c>
      <c r="BQ27" s="15" t="s">
        <v>2</v>
      </c>
      <c r="BR27" s="15" t="s">
        <v>2</v>
      </c>
      <c r="BS27" s="15" t="s">
        <v>2</v>
      </c>
      <c r="BT27" s="15" t="s">
        <v>2</v>
      </c>
      <c r="BU27" s="15" t="s">
        <v>2</v>
      </c>
      <c r="BV27" s="15" t="s">
        <v>2</v>
      </c>
      <c r="BW27" s="15" t="s">
        <v>2</v>
      </c>
      <c r="BX27" s="15" t="s">
        <v>2</v>
      </c>
      <c r="BY27" s="15" t="s">
        <v>2</v>
      </c>
      <c r="BZ27" s="15" t="s">
        <v>2</v>
      </c>
      <c r="CA27" s="15" t="s">
        <v>2</v>
      </c>
      <c r="CB27" s="4">
        <v>0.89</v>
      </c>
      <c r="CC27" s="4">
        <v>0.89</v>
      </c>
      <c r="CD27" s="4">
        <v>0.89</v>
      </c>
      <c r="CE27" s="4">
        <v>0.89</v>
      </c>
      <c r="CF27" s="4">
        <v>0.89</v>
      </c>
      <c r="CG27" s="4">
        <v>0.89</v>
      </c>
      <c r="CH27" s="4">
        <v>0.89</v>
      </c>
      <c r="CI27" s="4">
        <v>0.89</v>
      </c>
      <c r="CJ27" s="15" t="s">
        <v>2</v>
      </c>
      <c r="CK27" s="15" t="s">
        <v>2</v>
      </c>
      <c r="CL27" s="4">
        <v>0.89</v>
      </c>
      <c r="CM27" s="4">
        <v>0.89</v>
      </c>
      <c r="CN27" s="15" t="s">
        <v>2</v>
      </c>
      <c r="CO27" s="15" t="s">
        <v>2</v>
      </c>
      <c r="CP27" s="4">
        <v>0.89</v>
      </c>
      <c r="CQ27" s="15" t="s">
        <v>2</v>
      </c>
      <c r="CR27" s="15" t="s">
        <v>2</v>
      </c>
      <c r="CS27" s="15" t="s">
        <v>2</v>
      </c>
      <c r="CT27" s="15" t="s">
        <v>2</v>
      </c>
      <c r="CU27" s="15" t="s">
        <v>2</v>
      </c>
      <c r="CV27" s="4">
        <v>0.89</v>
      </c>
      <c r="CW27" s="4">
        <v>0.89</v>
      </c>
      <c r="CX27" s="4">
        <v>0.89</v>
      </c>
      <c r="CY27" s="4">
        <v>0.89</v>
      </c>
      <c r="CZ27" s="4">
        <v>0.89</v>
      </c>
      <c r="DA27" s="4">
        <v>0.89</v>
      </c>
      <c r="DB27" s="15" t="s">
        <v>2</v>
      </c>
      <c r="DC27" s="4">
        <v>0.89</v>
      </c>
      <c r="DD27" s="4">
        <v>0.89</v>
      </c>
      <c r="DE27" s="4">
        <v>0.89</v>
      </c>
      <c r="DF27" s="4">
        <v>0.89</v>
      </c>
      <c r="DG27" s="4">
        <v>0.89</v>
      </c>
      <c r="DH27" s="4">
        <v>0.89</v>
      </c>
      <c r="DI27" s="4">
        <v>0.89</v>
      </c>
      <c r="DJ27" s="4">
        <v>0.89</v>
      </c>
      <c r="DK27" s="4">
        <v>0.89</v>
      </c>
      <c r="DL27" s="4">
        <v>0.89</v>
      </c>
      <c r="DM27" s="4">
        <v>0.89</v>
      </c>
      <c r="DN27" s="4">
        <v>0.89</v>
      </c>
      <c r="DO27" s="15" t="s">
        <v>2</v>
      </c>
      <c r="DP27" s="15" t="s">
        <v>2</v>
      </c>
      <c r="DQ27" s="4">
        <v>0.89</v>
      </c>
      <c r="DR27" s="4">
        <v>0.89</v>
      </c>
      <c r="DS27" s="4">
        <v>0.89</v>
      </c>
      <c r="DT27" s="4">
        <v>0.89</v>
      </c>
      <c r="DU27" s="15" t="s">
        <v>2</v>
      </c>
      <c r="DV27" s="15" t="s">
        <v>2</v>
      </c>
      <c r="DW27" s="4">
        <v>0.89</v>
      </c>
      <c r="DX27" s="4">
        <v>0.89</v>
      </c>
      <c r="DY27" s="4">
        <v>0.89</v>
      </c>
      <c r="DZ27" s="4">
        <v>0.89</v>
      </c>
      <c r="EA27" t="s">
        <v>2</v>
      </c>
      <c r="EG27" s="62" t="s">
        <v>336</v>
      </c>
      <c r="EH27" s="232" t="s">
        <v>338</v>
      </c>
      <c r="EI27" s="61">
        <v>0.89</v>
      </c>
      <c r="EJ27" s="61">
        <v>0.89</v>
      </c>
      <c r="EK27" s="61">
        <v>0.89</v>
      </c>
    </row>
    <row r="28" spans="1:141" ht="30" x14ac:dyDescent="0.25">
      <c r="A28" s="11" t="s">
        <v>29</v>
      </c>
      <c r="B28" t="s">
        <v>2</v>
      </c>
      <c r="C28" s="19"/>
      <c r="D28" s="20"/>
      <c r="E28" s="20"/>
      <c r="F28" s="20"/>
      <c r="G28" s="20"/>
      <c r="H28" s="20"/>
      <c r="I28" s="20"/>
      <c r="J28" s="58" t="s">
        <v>381</v>
      </c>
      <c r="K28" s="58" t="s">
        <v>313</v>
      </c>
      <c r="L28" s="58" t="s">
        <v>171</v>
      </c>
      <c r="M28" s="221" t="s">
        <v>162</v>
      </c>
      <c r="N28" s="230"/>
      <c r="EG28" s="62" t="s">
        <v>337</v>
      </c>
      <c r="EH28" s="232" t="s">
        <v>338</v>
      </c>
      <c r="EI28" s="61">
        <v>0.89</v>
      </c>
      <c r="EJ28" s="61">
        <v>0.89</v>
      </c>
      <c r="EK28" s="61">
        <v>0.89</v>
      </c>
    </row>
    <row r="29" spans="1:141" ht="30" x14ac:dyDescent="0.25">
      <c r="A29" s="11" t="s">
        <v>30</v>
      </c>
      <c r="B29" t="s">
        <v>2</v>
      </c>
      <c r="C29" s="19"/>
      <c r="D29" s="20"/>
      <c r="E29" s="20"/>
      <c r="F29" s="20"/>
      <c r="G29" s="20"/>
      <c r="H29" s="20"/>
      <c r="I29" s="20"/>
      <c r="J29" s="58" t="s">
        <v>405</v>
      </c>
      <c r="K29" s="58" t="s">
        <v>381</v>
      </c>
      <c r="L29" s="58" t="s">
        <v>313</v>
      </c>
      <c r="M29" s="221" t="s">
        <v>162</v>
      </c>
      <c r="N29" s="164"/>
      <c r="O29" s="334" t="s">
        <v>87</v>
      </c>
      <c r="P29" s="28" t="str">
        <f>$P$3</f>
        <v xml:space="preserve">  RFA 2023-102</v>
      </c>
      <c r="Q29" s="28" t="str">
        <f>$Q$3</f>
        <v xml:space="preserve">  RFA 2023-102SF</v>
      </c>
      <c r="R29" s="28" t="str">
        <f>$R$3</f>
        <v xml:space="preserve">  RFA 2023-103</v>
      </c>
      <c r="S29" s="28" t="str">
        <f>$S$3</f>
        <v xml:space="preserve">  RFA 2023-103SF</v>
      </c>
      <c r="T29" s="28" t="str">
        <f>$T$3</f>
        <v xml:space="preserve">  RFA 2023-104</v>
      </c>
      <c r="U29" s="28" t="str">
        <f>$U$3</f>
        <v xml:space="preserve">  RFA 2023-104SF</v>
      </c>
      <c r="V29" s="28" t="str">
        <f>$V$3</f>
        <v xml:space="preserve">  RFA 2023-105</v>
      </c>
      <c r="W29" s="28" t="str">
        <f>$W$3</f>
        <v xml:space="preserve">  RFA 2023-106</v>
      </c>
      <c r="X29" s="28" t="str">
        <f>$X$3</f>
        <v xml:space="preserve">  RFA 2023-106SF</v>
      </c>
      <c r="Y29" s="28" t="str">
        <f>$Y$3</f>
        <v xml:space="preserve">  RFA 2023-108</v>
      </c>
      <c r="Z29" s="167" t="str">
        <f>$Z$3</f>
        <v xml:space="preserve">  RFA 2023-201</v>
      </c>
      <c r="AA29" s="167" t="str">
        <f>$AA$3</f>
        <v xml:space="preserve">  RFA 2023-202</v>
      </c>
      <c r="AB29" s="167" t="str">
        <f>$AB$3</f>
        <v xml:space="preserve">  RFA 2023-202SF</v>
      </c>
      <c r="AC29" s="167" t="str">
        <f>$AC$3</f>
        <v xml:space="preserve">  RFA 2023-203SF</v>
      </c>
      <c r="AD29" s="167" t="s">
        <v>267</v>
      </c>
      <c r="AE29" s="167" t="s">
        <v>268</v>
      </c>
      <c r="AF29" s="167" t="str">
        <f>$AF$3</f>
        <v xml:space="preserve">  RFA 2023-205</v>
      </c>
      <c r="AG29" s="167" t="str">
        <f>$AG$3</f>
        <v xml:space="preserve">  RFA 2023-205SF</v>
      </c>
      <c r="AH29" s="214" t="str">
        <f>$AH$3</f>
        <v xml:space="preserve">  RFA 2023-211</v>
      </c>
      <c r="AI29" s="167" t="str">
        <f>$AI$3</f>
        <v xml:space="preserve">  RFA 2023-212</v>
      </c>
      <c r="AJ29" s="167" t="str">
        <f>$AJ$3</f>
        <v xml:space="preserve">  RFA 2023-213</v>
      </c>
      <c r="AK29" s="167" t="str">
        <f>AK$3</f>
        <v xml:space="preserve">  RFA 2023-213SF</v>
      </c>
      <c r="AL29" s="214" t="str">
        <f>$AL$3</f>
        <v xml:space="preserve">  RFA 2023-304</v>
      </c>
      <c r="AM29" s="167" t="str">
        <f>$AM$3</f>
        <v xml:space="preserve">  RFA 2024-102</v>
      </c>
      <c r="AN29" s="167" t="str">
        <f>$AN$3</f>
        <v xml:space="preserve">  RFA 2024-102SF</v>
      </c>
      <c r="AO29" s="167" t="str">
        <f>$AO$3</f>
        <v xml:space="preserve">  RFA 2024-103</v>
      </c>
      <c r="AP29" s="167" t="str">
        <f>$AP$3</f>
        <v xml:space="preserve">  RFA 2024-103SF</v>
      </c>
      <c r="AQ29" s="167" t="str">
        <f>$AQ$3</f>
        <v xml:space="preserve">  RFA 2024-104</v>
      </c>
      <c r="AR29" s="167" t="str">
        <f>$AR$3</f>
        <v xml:space="preserve">  RFA 2024-104SF</v>
      </c>
      <c r="AS29" s="167" t="str">
        <f>$AS$3</f>
        <v xml:space="preserve">  RFA 2024-105</v>
      </c>
      <c r="AT29" s="167" t="str">
        <f t="shared" ref="AT29:BC29" si="27">AT3</f>
        <v xml:space="preserve">  RFA 2024-106</v>
      </c>
      <c r="AU29" s="167" t="str">
        <f t="shared" si="27"/>
        <v xml:space="preserve">  RFA 2024-106SF</v>
      </c>
      <c r="AV29" s="167" t="str">
        <f t="shared" si="27"/>
        <v xml:space="preserve">  RFA 2024-201</v>
      </c>
      <c r="AW29" s="167" t="str">
        <f t="shared" si="27"/>
        <v xml:space="preserve">  RFA 2024-202</v>
      </c>
      <c r="AX29" s="167" t="str">
        <f t="shared" si="27"/>
        <v xml:space="preserve">  RFA 2024-202SF</v>
      </c>
      <c r="AY29" s="167" t="str">
        <f t="shared" si="27"/>
        <v xml:space="preserve">  RFA 2024-203</v>
      </c>
      <c r="AZ29" s="167" t="str">
        <f t="shared" si="27"/>
        <v xml:space="preserve">  RFA 2024-204</v>
      </c>
      <c r="BA29" s="167" t="str">
        <f t="shared" si="27"/>
        <v xml:space="preserve">  RFA 2024-204SF</v>
      </c>
      <c r="BB29" s="167" t="str">
        <f t="shared" si="27"/>
        <v xml:space="preserve">  RFA 2024-205</v>
      </c>
      <c r="BC29" s="167" t="str">
        <f t="shared" si="27"/>
        <v xml:space="preserve">  RFA 2024-205SF</v>
      </c>
      <c r="BD29" s="167" t="str">
        <f>$BD$3</f>
        <v xml:space="preserve">  RFA 2024-206</v>
      </c>
      <c r="BE29" s="167" t="str">
        <f t="shared" ref="BE29:BY29" si="28">BE3</f>
        <v xml:space="preserve">  RFA 2024-206SF</v>
      </c>
      <c r="BF29" s="167" t="str">
        <f>$BF$3</f>
        <v xml:space="preserve">  RFA 2024-213</v>
      </c>
      <c r="BG29" s="167" t="str">
        <f>$BG$3</f>
        <v xml:space="preserve">  RFA 2024-213SF</v>
      </c>
      <c r="BH29" s="167" t="str">
        <f t="shared" si="28"/>
        <v xml:space="preserve">  RFA 2024-214</v>
      </c>
      <c r="BI29" s="167" t="str">
        <f t="shared" si="28"/>
        <v xml:space="preserve">  RFA 2024-214SF</v>
      </c>
      <c r="BJ29" s="167" t="str">
        <f t="shared" si="28"/>
        <v xml:space="preserve">  RFA 2024-215</v>
      </c>
      <c r="BK29" s="167" t="str">
        <f t="shared" si="28"/>
        <v xml:space="preserve">  RFA 2024-215SF</v>
      </c>
      <c r="BL29" s="167" t="str">
        <f t="shared" si="28"/>
        <v xml:space="preserve">  RFA 2024-216</v>
      </c>
      <c r="BM29" s="167" t="str">
        <f t="shared" si="28"/>
        <v xml:space="preserve">  RFA 2024-216SF</v>
      </c>
      <c r="BN29" s="167" t="str">
        <f t="shared" si="28"/>
        <v xml:space="preserve">  RFA 2024-305</v>
      </c>
      <c r="BO29" s="167" t="str">
        <f t="shared" si="28"/>
        <v xml:space="preserve">  RFA 2024-305SF</v>
      </c>
      <c r="BP29" s="167" t="str">
        <f t="shared" si="28"/>
        <v xml:space="preserve">  RFA 2024-306</v>
      </c>
      <c r="BQ29" s="167" t="str">
        <f t="shared" ref="BQ29:BW29" si="29">BQ3</f>
        <v xml:space="preserve">  RFA 2024-306SF</v>
      </c>
      <c r="BR29" s="167" t="str">
        <f t="shared" si="28"/>
        <v xml:space="preserve">  RFA 2025-102</v>
      </c>
      <c r="BS29" s="167" t="str">
        <f t="shared" si="29"/>
        <v xml:space="preserve">  RFA 2025-102SF</v>
      </c>
      <c r="BT29" s="167" t="str">
        <f t="shared" si="28"/>
        <v xml:space="preserve">  RFA 2025-103</v>
      </c>
      <c r="BU29" s="167" t="str">
        <f t="shared" si="29"/>
        <v xml:space="preserve">  RFA 2025-103SF</v>
      </c>
      <c r="BV29" s="167" t="str">
        <f t="shared" si="28"/>
        <v xml:space="preserve">  RFA 2025-104</v>
      </c>
      <c r="BW29" s="167" t="str">
        <f t="shared" si="29"/>
        <v xml:space="preserve">  RFA 2025-104SF</v>
      </c>
      <c r="BX29" s="167" t="str">
        <f t="shared" si="28"/>
        <v xml:space="preserve">  RFA 2025-106</v>
      </c>
      <c r="BY29" s="167" t="str">
        <f t="shared" si="28"/>
        <v xml:space="preserve">  RFA 2025-106SF</v>
      </c>
      <c r="BZ29" s="167" t="str">
        <f>$BZ$3</f>
        <v xml:space="preserve">  RFA 2025-108</v>
      </c>
      <c r="CA29" s="167" t="str">
        <f>$CA$3</f>
        <v xml:space="preserve">  RFA 2025-108SF</v>
      </c>
      <c r="CB29" s="167" t="str">
        <f t="shared" ref="CB29:CI29" si="30">CB3</f>
        <v xml:space="preserve">  RFA 2025-201</v>
      </c>
      <c r="CC29" s="167" t="str">
        <f t="shared" si="30"/>
        <v xml:space="preserve">  RFA 2025-202</v>
      </c>
      <c r="CD29" s="167" t="str">
        <f t="shared" si="30"/>
        <v xml:space="preserve">  RFA 2025-202SF</v>
      </c>
      <c r="CE29" s="167" t="str">
        <f t="shared" si="30"/>
        <v xml:space="preserve">  RFA 2025-203</v>
      </c>
      <c r="CF29" s="167" t="str">
        <f t="shared" si="30"/>
        <v xml:space="preserve">  RFA 2025-204</v>
      </c>
      <c r="CG29" s="167" t="str">
        <f t="shared" si="30"/>
        <v xml:space="preserve">  RFA 2025-204SF</v>
      </c>
      <c r="CH29" s="167" t="str">
        <f t="shared" si="30"/>
        <v xml:space="preserve">  RFA 2025-205</v>
      </c>
      <c r="CI29" s="167" t="str">
        <f t="shared" si="30"/>
        <v xml:space="preserve">  RFA 2025-205SF</v>
      </c>
      <c r="CJ29" s="167" t="str">
        <f t="shared" ref="CJ29:CK29" si="31">CJ3</f>
        <v xml:space="preserve">  RFA 2025-206</v>
      </c>
      <c r="CK29" s="167" t="str">
        <f t="shared" si="31"/>
        <v xml:space="preserve">  RFA 2025-206SF</v>
      </c>
      <c r="CL29" s="167" t="str">
        <f>CL20</f>
        <v xml:space="preserve">  RFA 2025-212</v>
      </c>
      <c r="CM29" s="167" t="str">
        <f>CM20</f>
        <v xml:space="preserve">  RFA 2025-212SF</v>
      </c>
      <c r="CN29" s="167" t="str">
        <f>CN20</f>
        <v xml:space="preserve">  RFA 2025-213</v>
      </c>
      <c r="CO29" s="167" t="str">
        <f>CO20</f>
        <v xml:space="preserve">  RFA 2025-213SF</v>
      </c>
      <c r="CP29" s="167" t="str">
        <f t="shared" ref="CP29:CY29" si="32">CP3</f>
        <v xml:space="preserve">  RFA 2025-214</v>
      </c>
      <c r="CQ29" s="167" t="str">
        <f t="shared" si="32"/>
        <v xml:space="preserve">  RFA 2025-214SF</v>
      </c>
      <c r="CR29" s="167" t="str">
        <f t="shared" si="32"/>
        <v xml:space="preserve">  RFA 2025-215</v>
      </c>
      <c r="CS29" s="167" t="str">
        <f t="shared" si="32"/>
        <v xml:space="preserve">  RFA 2025-215SF</v>
      </c>
      <c r="CT29" s="167" t="str">
        <f>CT3</f>
        <v xml:space="preserve">  RFA 2025-216</v>
      </c>
      <c r="CU29" s="167" t="str">
        <f>CU3</f>
        <v xml:space="preserve">  RFA 2025-216SF</v>
      </c>
      <c r="CV29" s="167" t="str">
        <f t="shared" si="32"/>
        <v xml:space="preserve">  RFA 2026-102</v>
      </c>
      <c r="CW29" s="167" t="str">
        <f t="shared" si="32"/>
        <v xml:space="preserve">  RFA 2026-102SF</v>
      </c>
      <c r="CX29" s="167" t="str">
        <f t="shared" si="32"/>
        <v xml:space="preserve">  RFA 2026-103</v>
      </c>
      <c r="CY29" s="167" t="str">
        <f t="shared" si="32"/>
        <v xml:space="preserve">  RFA 2026-103SF</v>
      </c>
      <c r="CZ29" s="167" t="str">
        <f>CZ20</f>
        <v xml:space="preserve">  RFA 2026-104</v>
      </c>
      <c r="DA29" s="167" t="str">
        <f>DA20</f>
        <v xml:space="preserve">  RFA 2026-104SF</v>
      </c>
      <c r="DB29" s="167" t="str">
        <f>DB20</f>
        <v xml:space="preserve">  RFA 2026-105</v>
      </c>
      <c r="DC29" s="167" t="str">
        <f t="shared" ref="DC29:DL29" si="33">DC3</f>
        <v xml:space="preserve">  RFA 2026-106</v>
      </c>
      <c r="DD29" s="167" t="str">
        <f t="shared" si="33"/>
        <v xml:space="preserve">  RFA 2026-106SF</v>
      </c>
      <c r="DE29" s="167" t="str">
        <f>$DE$3</f>
        <v xml:space="preserve">  RFA 2026-108</v>
      </c>
      <c r="DF29" s="167" t="str">
        <f>$DF$3</f>
        <v xml:space="preserve">  RFA 2026-108SF</v>
      </c>
      <c r="DG29" s="167" t="str">
        <f t="shared" si="33"/>
        <v xml:space="preserve">  RFA 2026-201</v>
      </c>
      <c r="DH29" s="167" t="str">
        <f t="shared" si="33"/>
        <v xml:space="preserve">  RFA 2026-202</v>
      </c>
      <c r="DI29" s="167" t="str">
        <f t="shared" si="33"/>
        <v xml:space="preserve">  RFA 2026-202SF</v>
      </c>
      <c r="DJ29" s="167" t="str">
        <f t="shared" si="33"/>
        <v xml:space="preserve">  RFA 2026-203</v>
      </c>
      <c r="DK29" s="167" t="str">
        <f t="shared" si="33"/>
        <v xml:space="preserve">  RFA 2026-204</v>
      </c>
      <c r="DL29" s="167" t="str">
        <f t="shared" si="33"/>
        <v xml:space="preserve">  RFA 2026-204SF</v>
      </c>
      <c r="DM29" s="167" t="s">
        <v>422</v>
      </c>
      <c r="DN29" s="167" t="s">
        <v>423</v>
      </c>
      <c r="DO29" s="167" t="str">
        <f t="shared" ref="DO29:DV29" si="34">DO3</f>
        <v xml:space="preserve">  RFA 2026-206</v>
      </c>
      <c r="DP29" s="167" t="str">
        <f t="shared" si="34"/>
        <v xml:space="preserve">  RFA 2026-206SF</v>
      </c>
      <c r="DQ29" s="167" t="str">
        <f t="shared" si="34"/>
        <v xml:space="preserve">  RFA 2026-212</v>
      </c>
      <c r="DR29" s="167" t="str">
        <f t="shared" si="34"/>
        <v xml:space="preserve">  RFA 2026-212SF</v>
      </c>
      <c r="DS29" s="167" t="str">
        <f t="shared" si="34"/>
        <v xml:space="preserve">  RFA 2026-216</v>
      </c>
      <c r="DT29" s="167" t="str">
        <f t="shared" si="34"/>
        <v xml:space="preserve">  RFA 2026-216SF</v>
      </c>
      <c r="DU29" s="167" t="str">
        <f t="shared" si="34"/>
        <v xml:space="preserve">  RFA 2026-218</v>
      </c>
      <c r="DV29" s="167" t="str">
        <f t="shared" si="34"/>
        <v xml:space="preserve">  RFA 2026-218SF</v>
      </c>
      <c r="DW29" s="167" t="str">
        <f>$DW$3</f>
        <v xml:space="preserve">  RFA 2027-103</v>
      </c>
      <c r="DX29" s="167" t="str">
        <f>$DX$3</f>
        <v xml:space="preserve">  RFA 2027-103SF</v>
      </c>
      <c r="DY29" s="167" t="str">
        <f>$DY$3</f>
        <v xml:space="preserve">  RFA 2027-106</v>
      </c>
      <c r="DZ29" s="167" t="str">
        <f>$DZ$3</f>
        <v xml:space="preserve">  RFA 2027-106SF</v>
      </c>
      <c r="EG29" s="240" t="s">
        <v>396</v>
      </c>
      <c r="EH29" s="241" t="s">
        <v>338</v>
      </c>
      <c r="EI29" s="241" t="s">
        <v>338</v>
      </c>
      <c r="EJ29" s="242">
        <v>0.89</v>
      </c>
      <c r="EK29" s="242">
        <v>0.89</v>
      </c>
    </row>
    <row r="30" spans="1:141" x14ac:dyDescent="0.25">
      <c r="A30" s="11" t="s">
        <v>31</v>
      </c>
      <c r="B30" t="s">
        <v>2</v>
      </c>
      <c r="C30" s="19"/>
      <c r="D30" s="20"/>
      <c r="E30" s="20"/>
      <c r="F30" s="20"/>
      <c r="G30" s="20"/>
      <c r="H30" s="20"/>
      <c r="I30" s="20"/>
      <c r="J30" s="58" t="s">
        <v>405</v>
      </c>
      <c r="K30" s="58" t="s">
        <v>381</v>
      </c>
      <c r="L30" s="58" t="s">
        <v>313</v>
      </c>
      <c r="M30" s="212" t="s">
        <v>171</v>
      </c>
      <c r="N30" s="164"/>
      <c r="O30" s="335"/>
      <c r="P30" s="14" t="s">
        <v>2</v>
      </c>
      <c r="Q30" s="14" t="s">
        <v>2</v>
      </c>
      <c r="R30" s="14" t="s">
        <v>2</v>
      </c>
      <c r="S30" s="14" t="s">
        <v>2</v>
      </c>
      <c r="T30" s="14" t="s">
        <v>2</v>
      </c>
      <c r="U30" s="14" t="s">
        <v>2</v>
      </c>
      <c r="V30" s="14" t="s">
        <v>2</v>
      </c>
      <c r="W30" s="14" t="s">
        <v>2</v>
      </c>
      <c r="X30" s="14" t="s">
        <v>2</v>
      </c>
      <c r="Y30" s="14" t="s">
        <v>2</v>
      </c>
      <c r="Z30" s="13" t="s">
        <v>133</v>
      </c>
      <c r="AA30" s="13" t="s">
        <v>133</v>
      </c>
      <c r="AB30" s="13" t="s">
        <v>133</v>
      </c>
      <c r="AC30" s="13" t="s">
        <v>133</v>
      </c>
      <c r="AD30" s="13" t="s">
        <v>133</v>
      </c>
      <c r="AE30" s="13" t="s">
        <v>133</v>
      </c>
      <c r="AF30" s="13" t="s">
        <v>133</v>
      </c>
      <c r="AG30" s="13" t="s">
        <v>133</v>
      </c>
      <c r="AH30" s="14" t="s">
        <v>2</v>
      </c>
      <c r="AI30" s="13" t="s">
        <v>133</v>
      </c>
      <c r="AJ30" s="13" t="s">
        <v>133</v>
      </c>
      <c r="AK30" s="13" t="s">
        <v>133</v>
      </c>
      <c r="AL30" s="14" t="s">
        <v>2</v>
      </c>
      <c r="AM30" s="13" t="s">
        <v>133</v>
      </c>
      <c r="AN30" s="13" t="s">
        <v>133</v>
      </c>
      <c r="AO30" s="13" t="s">
        <v>133</v>
      </c>
      <c r="AP30" s="13" t="s">
        <v>133</v>
      </c>
      <c r="AQ30" s="13" t="s">
        <v>133</v>
      </c>
      <c r="AR30" s="13" t="s">
        <v>133</v>
      </c>
      <c r="AS30" t="s">
        <v>102</v>
      </c>
      <c r="AT30" s="13" t="s">
        <v>133</v>
      </c>
      <c r="AU30" s="13" t="s">
        <v>133</v>
      </c>
      <c r="AV30" s="13" t="s">
        <v>133</v>
      </c>
      <c r="AW30" s="13" t="s">
        <v>133</v>
      </c>
      <c r="AX30" s="13" t="s">
        <v>133</v>
      </c>
      <c r="AY30" s="13" t="s">
        <v>133</v>
      </c>
      <c r="AZ30" s="13" t="s">
        <v>133</v>
      </c>
      <c r="BA30" s="13" t="s">
        <v>133</v>
      </c>
      <c r="BB30" s="13" t="s">
        <v>133</v>
      </c>
      <c r="BC30" s="13" t="s">
        <v>133</v>
      </c>
      <c r="BD30" s="13" t="s">
        <v>133</v>
      </c>
      <c r="BE30" s="13" t="s">
        <v>133</v>
      </c>
      <c r="BF30" s="13" t="s">
        <v>133</v>
      </c>
      <c r="BG30" s="13" t="s">
        <v>133</v>
      </c>
      <c r="BH30" s="13" t="s">
        <v>133</v>
      </c>
      <c r="BI30" s="13" t="s">
        <v>133</v>
      </c>
      <c r="BJ30" s="13" t="s">
        <v>133</v>
      </c>
      <c r="BK30" s="13" t="s">
        <v>133</v>
      </c>
      <c r="BL30" s="13" t="s">
        <v>133</v>
      </c>
      <c r="BM30" s="13" t="s">
        <v>133</v>
      </c>
      <c r="BN30" s="13" t="s">
        <v>133</v>
      </c>
      <c r="BO30" s="13" t="s">
        <v>133</v>
      </c>
      <c r="BP30" s="13" t="s">
        <v>133</v>
      </c>
      <c r="BQ30" s="13" t="s">
        <v>133</v>
      </c>
      <c r="BR30" s="13" t="s">
        <v>133</v>
      </c>
      <c r="BS30" s="13" t="s">
        <v>133</v>
      </c>
      <c r="BT30" s="13" t="s">
        <v>133</v>
      </c>
      <c r="BU30" s="13" t="s">
        <v>133</v>
      </c>
      <c r="BV30" s="13" t="s">
        <v>133</v>
      </c>
      <c r="BW30" s="13" t="s">
        <v>133</v>
      </c>
      <c r="BX30" s="13" t="s">
        <v>133</v>
      </c>
      <c r="BY30" s="13" t="s">
        <v>133</v>
      </c>
      <c r="BZ30" s="13" t="s">
        <v>133</v>
      </c>
      <c r="CA30" s="13" t="s">
        <v>133</v>
      </c>
      <c r="CB30" s="13" t="s">
        <v>133</v>
      </c>
      <c r="CC30" s="13" t="s">
        <v>133</v>
      </c>
      <c r="CD30" s="13" t="s">
        <v>133</v>
      </c>
      <c r="CE30" s="13" t="s">
        <v>133</v>
      </c>
      <c r="CF30" s="13" t="s">
        <v>133</v>
      </c>
      <c r="CG30" s="13" t="s">
        <v>133</v>
      </c>
      <c r="CH30" s="13" t="s">
        <v>133</v>
      </c>
      <c r="CI30" s="13" t="s">
        <v>133</v>
      </c>
      <c r="CJ30" s="13" t="s">
        <v>133</v>
      </c>
      <c r="CK30" s="13" t="s">
        <v>133</v>
      </c>
      <c r="CL30" s="13" t="s">
        <v>133</v>
      </c>
      <c r="CM30" s="13" t="s">
        <v>133</v>
      </c>
      <c r="CN30" s="13" t="s">
        <v>133</v>
      </c>
      <c r="CO30" s="13" t="s">
        <v>133</v>
      </c>
      <c r="CP30" s="13" t="s">
        <v>133</v>
      </c>
      <c r="CQ30" s="13" t="s">
        <v>133</v>
      </c>
      <c r="CR30" s="13" t="s">
        <v>133</v>
      </c>
      <c r="CS30" s="13" t="s">
        <v>133</v>
      </c>
      <c r="CT30" s="13" t="s">
        <v>133</v>
      </c>
      <c r="CU30" s="13" t="s">
        <v>133</v>
      </c>
      <c r="CV30" s="13" t="s">
        <v>133</v>
      </c>
      <c r="CW30" s="13" t="s">
        <v>133</v>
      </c>
      <c r="CX30" s="13" t="s">
        <v>133</v>
      </c>
      <c r="CY30" s="13" t="s">
        <v>133</v>
      </c>
      <c r="CZ30" s="13" t="s">
        <v>133</v>
      </c>
      <c r="DA30" s="13" t="s">
        <v>133</v>
      </c>
      <c r="DB30" t="s">
        <v>102</v>
      </c>
      <c r="DC30" s="13" t="s">
        <v>133</v>
      </c>
      <c r="DD30" s="13" t="s">
        <v>133</v>
      </c>
      <c r="DE30" s="13" t="s">
        <v>133</v>
      </c>
      <c r="DF30" s="13" t="s">
        <v>133</v>
      </c>
      <c r="DG30" s="13" t="s">
        <v>133</v>
      </c>
      <c r="DH30" s="13" t="s">
        <v>133</v>
      </c>
      <c r="DI30" s="13" t="s">
        <v>133</v>
      </c>
      <c r="DJ30" s="13" t="s">
        <v>133</v>
      </c>
      <c r="DK30" s="13" t="s">
        <v>133</v>
      </c>
      <c r="DL30" s="13" t="s">
        <v>133</v>
      </c>
      <c r="DM30" s="13" t="s">
        <v>133</v>
      </c>
      <c r="DN30" s="13" t="s">
        <v>133</v>
      </c>
      <c r="DO30" s="13" t="s">
        <v>133</v>
      </c>
      <c r="DP30" s="13" t="s">
        <v>133</v>
      </c>
      <c r="DQ30" s="13" t="s">
        <v>133</v>
      </c>
      <c r="DR30" s="13" t="s">
        <v>133</v>
      </c>
      <c r="DS30" s="13" t="s">
        <v>133</v>
      </c>
      <c r="DT30" s="13" t="s">
        <v>133</v>
      </c>
      <c r="DU30" t="s">
        <v>419</v>
      </c>
      <c r="DV30" t="s">
        <v>419</v>
      </c>
      <c r="DW30" s="13" t="s">
        <v>133</v>
      </c>
      <c r="DX30" s="13" t="s">
        <v>133</v>
      </c>
      <c r="DY30" s="13" t="s">
        <v>133</v>
      </c>
      <c r="DZ30" s="13" t="s">
        <v>133</v>
      </c>
      <c r="EA30" t="s">
        <v>2</v>
      </c>
      <c r="EG30" s="62" t="s">
        <v>180</v>
      </c>
      <c r="EH30" s="61">
        <v>0.65</v>
      </c>
      <c r="EI30" s="61">
        <v>0.65</v>
      </c>
      <c r="EJ30" s="61">
        <v>0.65</v>
      </c>
      <c r="EK30" s="61">
        <v>0.65</v>
      </c>
    </row>
    <row r="31" spans="1:141" x14ac:dyDescent="0.25">
      <c r="A31" s="11" t="s">
        <v>32</v>
      </c>
      <c r="B31" t="s">
        <v>2</v>
      </c>
      <c r="C31" s="19"/>
      <c r="D31" s="20"/>
      <c r="E31" s="20"/>
      <c r="F31" s="20"/>
      <c r="G31" s="20"/>
      <c r="H31" s="20"/>
      <c r="I31" s="20"/>
      <c r="J31" s="58" t="s">
        <v>405</v>
      </c>
      <c r="K31" s="58" t="s">
        <v>381</v>
      </c>
      <c r="L31" s="58" t="s">
        <v>313</v>
      </c>
      <c r="M31" s="212" t="s">
        <v>171</v>
      </c>
      <c r="N31" s="164"/>
      <c r="O31" s="335"/>
      <c r="P31" s="14" t="s">
        <v>2</v>
      </c>
      <c r="Q31" s="14" t="s">
        <v>2</v>
      </c>
      <c r="R31" s="14" t="s">
        <v>2</v>
      </c>
      <c r="S31" s="14" t="s">
        <v>2</v>
      </c>
      <c r="T31" s="14" t="s">
        <v>2</v>
      </c>
      <c r="U31" s="14" t="s">
        <v>2</v>
      </c>
      <c r="V31" s="14" t="s">
        <v>2</v>
      </c>
      <c r="W31" s="14" t="s">
        <v>2</v>
      </c>
      <c r="X31" s="14" t="s">
        <v>2</v>
      </c>
      <c r="Y31" s="14" t="s">
        <v>2</v>
      </c>
      <c r="Z31" s="13" t="s">
        <v>114</v>
      </c>
      <c r="AA31" s="13" t="s">
        <v>114</v>
      </c>
      <c r="AB31" s="13" t="s">
        <v>114</v>
      </c>
      <c r="AC31" s="13" t="s">
        <v>114</v>
      </c>
      <c r="AD31" s="13" t="s">
        <v>114</v>
      </c>
      <c r="AE31" s="13" t="s">
        <v>114</v>
      </c>
      <c r="AF31" s="13" t="s">
        <v>114</v>
      </c>
      <c r="AG31" s="13" t="s">
        <v>114</v>
      </c>
      <c r="AH31" s="14" t="s">
        <v>2</v>
      </c>
      <c r="AI31" s="13" t="s">
        <v>114</v>
      </c>
      <c r="AJ31" s="13" t="s">
        <v>114</v>
      </c>
      <c r="AK31" s="13" t="s">
        <v>114</v>
      </c>
      <c r="AL31" s="14" t="s">
        <v>2</v>
      </c>
      <c r="AM31" s="13" t="s">
        <v>114</v>
      </c>
      <c r="AN31" s="13" t="s">
        <v>114</v>
      </c>
      <c r="AO31" s="13" t="s">
        <v>114</v>
      </c>
      <c r="AP31" s="13" t="s">
        <v>114</v>
      </c>
      <c r="AQ31" s="13" t="s">
        <v>114</v>
      </c>
      <c r="AR31" s="13" t="s">
        <v>114</v>
      </c>
      <c r="AS31" s="14" t="s">
        <v>2</v>
      </c>
      <c r="AT31" s="13" t="s">
        <v>114</v>
      </c>
      <c r="AU31" s="13" t="s">
        <v>114</v>
      </c>
      <c r="AV31" s="13" t="s">
        <v>114</v>
      </c>
      <c r="AW31" s="13" t="s">
        <v>114</v>
      </c>
      <c r="AX31" s="13" t="s">
        <v>114</v>
      </c>
      <c r="AY31" s="13" t="s">
        <v>114</v>
      </c>
      <c r="AZ31" s="13" t="s">
        <v>114</v>
      </c>
      <c r="BA31" s="13" t="s">
        <v>114</v>
      </c>
      <c r="BB31" s="13" t="s">
        <v>114</v>
      </c>
      <c r="BC31" s="13" t="s">
        <v>114</v>
      </c>
      <c r="BD31" s="13" t="s">
        <v>114</v>
      </c>
      <c r="BE31" s="13" t="s">
        <v>114</v>
      </c>
      <c r="BF31" s="13" t="s">
        <v>114</v>
      </c>
      <c r="BG31" s="13" t="s">
        <v>114</v>
      </c>
      <c r="BH31" s="13" t="s">
        <v>114</v>
      </c>
      <c r="BI31" s="13" t="s">
        <v>114</v>
      </c>
      <c r="BJ31" s="13" t="s">
        <v>114</v>
      </c>
      <c r="BK31" s="13" t="s">
        <v>114</v>
      </c>
      <c r="BL31" s="13" t="s">
        <v>114</v>
      </c>
      <c r="BM31" s="13" t="s">
        <v>114</v>
      </c>
      <c r="BN31" s="13" t="s">
        <v>114</v>
      </c>
      <c r="BO31" s="13" t="s">
        <v>114</v>
      </c>
      <c r="BP31" s="13" t="s">
        <v>114</v>
      </c>
      <c r="BQ31" s="13" t="s">
        <v>114</v>
      </c>
      <c r="BR31" s="13" t="s">
        <v>114</v>
      </c>
      <c r="BS31" s="13" t="s">
        <v>114</v>
      </c>
      <c r="BT31" s="13" t="s">
        <v>114</v>
      </c>
      <c r="BU31" s="13" t="s">
        <v>114</v>
      </c>
      <c r="BV31" s="13" t="s">
        <v>114</v>
      </c>
      <c r="BW31" s="13" t="s">
        <v>114</v>
      </c>
      <c r="BX31" s="13" t="s">
        <v>114</v>
      </c>
      <c r="BY31" s="13" t="s">
        <v>114</v>
      </c>
      <c r="BZ31" s="13" t="s">
        <v>114</v>
      </c>
      <c r="CA31" s="13" t="s">
        <v>114</v>
      </c>
      <c r="CB31" s="13" t="s">
        <v>114</v>
      </c>
      <c r="CC31" s="13" t="s">
        <v>114</v>
      </c>
      <c r="CD31" s="13" t="s">
        <v>114</v>
      </c>
      <c r="CE31" s="13" t="s">
        <v>114</v>
      </c>
      <c r="CF31" s="13" t="s">
        <v>114</v>
      </c>
      <c r="CG31" s="13" t="s">
        <v>114</v>
      </c>
      <c r="CH31" s="13" t="s">
        <v>114</v>
      </c>
      <c r="CI31" s="13" t="s">
        <v>114</v>
      </c>
      <c r="CJ31" s="13" t="s">
        <v>114</v>
      </c>
      <c r="CK31" s="13" t="s">
        <v>114</v>
      </c>
      <c r="CL31" s="13" t="s">
        <v>114</v>
      </c>
      <c r="CM31" s="13" t="s">
        <v>114</v>
      </c>
      <c r="CN31" s="13" t="s">
        <v>114</v>
      </c>
      <c r="CO31" s="13" t="s">
        <v>114</v>
      </c>
      <c r="CP31" s="13" t="s">
        <v>114</v>
      </c>
      <c r="CQ31" s="13" t="s">
        <v>114</v>
      </c>
      <c r="CR31" s="13" t="s">
        <v>114</v>
      </c>
      <c r="CS31" s="13" t="s">
        <v>114</v>
      </c>
      <c r="CT31" s="13" t="s">
        <v>114</v>
      </c>
      <c r="CU31" s="13" t="s">
        <v>114</v>
      </c>
      <c r="CV31" s="13" t="s">
        <v>114</v>
      </c>
      <c r="CW31" s="13" t="s">
        <v>114</v>
      </c>
      <c r="CX31" s="13" t="s">
        <v>114</v>
      </c>
      <c r="CY31" s="13" t="s">
        <v>114</v>
      </c>
      <c r="CZ31" s="13" t="s">
        <v>114</v>
      </c>
      <c r="DA31" s="13" t="s">
        <v>114</v>
      </c>
      <c r="DB31" s="14" t="s">
        <v>2</v>
      </c>
      <c r="DC31" s="13" t="s">
        <v>114</v>
      </c>
      <c r="DD31" s="13" t="s">
        <v>114</v>
      </c>
      <c r="DE31" s="13" t="s">
        <v>114</v>
      </c>
      <c r="DF31" s="13" t="s">
        <v>114</v>
      </c>
      <c r="DG31" s="13" t="s">
        <v>114</v>
      </c>
      <c r="DH31" s="13" t="s">
        <v>114</v>
      </c>
      <c r="DI31" s="13" t="s">
        <v>114</v>
      </c>
      <c r="DJ31" s="13" t="s">
        <v>114</v>
      </c>
      <c r="DK31" s="13" t="s">
        <v>114</v>
      </c>
      <c r="DL31" s="13" t="s">
        <v>114</v>
      </c>
      <c r="DM31" s="13" t="s">
        <v>114</v>
      </c>
      <c r="DN31" s="13" t="s">
        <v>114</v>
      </c>
      <c r="DO31" s="13" t="s">
        <v>114</v>
      </c>
      <c r="DP31" s="13" t="s">
        <v>114</v>
      </c>
      <c r="DQ31" s="13" t="s">
        <v>114</v>
      </c>
      <c r="DR31" s="13" t="s">
        <v>114</v>
      </c>
      <c r="DS31" s="13" t="s">
        <v>114</v>
      </c>
      <c r="DT31" s="13" t="s">
        <v>114</v>
      </c>
      <c r="DU31" s="14" t="s">
        <v>2</v>
      </c>
      <c r="DV31" s="14" t="s">
        <v>2</v>
      </c>
      <c r="DW31" s="13" t="s">
        <v>114</v>
      </c>
      <c r="DX31" s="13" t="s">
        <v>114</v>
      </c>
      <c r="DY31" s="13" t="s">
        <v>114</v>
      </c>
      <c r="DZ31" s="13" t="s">
        <v>114</v>
      </c>
      <c r="EA31" t="s">
        <v>2</v>
      </c>
      <c r="EG31" s="62" t="s">
        <v>181</v>
      </c>
      <c r="EH31" s="61">
        <v>0.5</v>
      </c>
      <c r="EI31" s="61">
        <v>0.5</v>
      </c>
      <c r="EJ31" s="61">
        <v>0.5</v>
      </c>
      <c r="EK31" s="61">
        <v>0.5</v>
      </c>
    </row>
    <row r="32" spans="1:141" x14ac:dyDescent="0.25">
      <c r="A32" s="11" t="s">
        <v>33</v>
      </c>
      <c r="B32" t="s">
        <v>2</v>
      </c>
      <c r="C32" s="19"/>
      <c r="D32" s="20"/>
      <c r="E32" s="20"/>
      <c r="F32" s="20"/>
      <c r="G32" s="20"/>
      <c r="H32" s="20"/>
      <c r="I32" s="20"/>
      <c r="J32" s="58" t="s">
        <v>405</v>
      </c>
      <c r="K32" s="58" t="s">
        <v>381</v>
      </c>
      <c r="L32" s="58" t="s">
        <v>313</v>
      </c>
      <c r="M32" s="212" t="s">
        <v>171</v>
      </c>
      <c r="N32" s="164"/>
      <c r="O32" s="335"/>
      <c r="P32" s="14" t="s">
        <v>2</v>
      </c>
      <c r="Q32" s="14" t="s">
        <v>2</v>
      </c>
      <c r="R32" s="14" t="s">
        <v>2</v>
      </c>
      <c r="S32" s="14" t="s">
        <v>2</v>
      </c>
      <c r="T32" s="14" t="s">
        <v>2</v>
      </c>
      <c r="U32" s="14" t="s">
        <v>2</v>
      </c>
      <c r="V32" s="14" t="s">
        <v>2</v>
      </c>
      <c r="W32" s="14" t="s">
        <v>2</v>
      </c>
      <c r="X32" s="14" t="s">
        <v>2</v>
      </c>
      <c r="Y32" s="14" t="s">
        <v>2</v>
      </c>
      <c r="Z32" s="13" t="s">
        <v>134</v>
      </c>
      <c r="AA32" s="13" t="s">
        <v>134</v>
      </c>
      <c r="AB32" s="13" t="s">
        <v>134</v>
      </c>
      <c r="AC32" s="13" t="s">
        <v>134</v>
      </c>
      <c r="AD32" s="13" t="s">
        <v>134</v>
      </c>
      <c r="AE32" s="13" t="s">
        <v>134</v>
      </c>
      <c r="AF32" s="13" t="s">
        <v>134</v>
      </c>
      <c r="AG32" s="13" t="s">
        <v>134</v>
      </c>
      <c r="AH32" s="14" t="s">
        <v>2</v>
      </c>
      <c r="AI32" s="13" t="s">
        <v>134</v>
      </c>
      <c r="AJ32" s="13" t="s">
        <v>134</v>
      </c>
      <c r="AK32" s="13" t="s">
        <v>134</v>
      </c>
      <c r="AL32" s="14" t="s">
        <v>2</v>
      </c>
      <c r="AM32" s="13" t="s">
        <v>134</v>
      </c>
      <c r="AN32" s="13" t="s">
        <v>134</v>
      </c>
      <c r="AO32" s="13" t="s">
        <v>134</v>
      </c>
      <c r="AP32" s="13" t="s">
        <v>134</v>
      </c>
      <c r="AQ32" s="13" t="s">
        <v>134</v>
      </c>
      <c r="AR32" s="13" t="s">
        <v>134</v>
      </c>
      <c r="AS32" s="14" t="s">
        <v>2</v>
      </c>
      <c r="AT32" s="13" t="s">
        <v>134</v>
      </c>
      <c r="AU32" s="13" t="s">
        <v>134</v>
      </c>
      <c r="AV32" s="13" t="s">
        <v>134</v>
      </c>
      <c r="AW32" s="13" t="s">
        <v>134</v>
      </c>
      <c r="AX32" s="13" t="s">
        <v>134</v>
      </c>
      <c r="AY32" s="13" t="s">
        <v>134</v>
      </c>
      <c r="AZ32" s="13" t="s">
        <v>134</v>
      </c>
      <c r="BA32" s="13" t="s">
        <v>134</v>
      </c>
      <c r="BB32" s="13" t="s">
        <v>134</v>
      </c>
      <c r="BC32" s="13" t="s">
        <v>134</v>
      </c>
      <c r="BD32" s="13" t="s">
        <v>134</v>
      </c>
      <c r="BE32" s="13" t="s">
        <v>134</v>
      </c>
      <c r="BF32" s="13" t="s">
        <v>134</v>
      </c>
      <c r="BG32" s="13" t="s">
        <v>134</v>
      </c>
      <c r="BH32" s="13" t="s">
        <v>134</v>
      </c>
      <c r="BI32" s="13" t="s">
        <v>134</v>
      </c>
      <c r="BJ32" s="13" t="s">
        <v>134</v>
      </c>
      <c r="BK32" s="13" t="s">
        <v>134</v>
      </c>
      <c r="BL32" s="13" t="s">
        <v>134</v>
      </c>
      <c r="BM32" s="13" t="s">
        <v>134</v>
      </c>
      <c r="BN32" s="13" t="s">
        <v>134</v>
      </c>
      <c r="BO32" s="13" t="s">
        <v>134</v>
      </c>
      <c r="BP32" s="13" t="s">
        <v>134</v>
      </c>
      <c r="BQ32" s="13" t="s">
        <v>134</v>
      </c>
      <c r="BR32" s="13" t="s">
        <v>134</v>
      </c>
      <c r="BS32" s="13" t="s">
        <v>134</v>
      </c>
      <c r="BT32" s="13" t="s">
        <v>134</v>
      </c>
      <c r="BU32" s="13" t="s">
        <v>134</v>
      </c>
      <c r="BV32" s="13" t="s">
        <v>134</v>
      </c>
      <c r="BW32" s="13" t="s">
        <v>134</v>
      </c>
      <c r="BX32" s="13" t="s">
        <v>134</v>
      </c>
      <c r="BY32" s="13" t="s">
        <v>134</v>
      </c>
      <c r="BZ32" s="13" t="s">
        <v>134</v>
      </c>
      <c r="CA32" s="13" t="s">
        <v>134</v>
      </c>
      <c r="CB32" s="13" t="s">
        <v>134</v>
      </c>
      <c r="CC32" s="13" t="s">
        <v>134</v>
      </c>
      <c r="CD32" s="13" t="s">
        <v>134</v>
      </c>
      <c r="CE32" s="13" t="s">
        <v>134</v>
      </c>
      <c r="CF32" s="13" t="s">
        <v>134</v>
      </c>
      <c r="CG32" s="13" t="s">
        <v>134</v>
      </c>
      <c r="CH32" s="13" t="s">
        <v>134</v>
      </c>
      <c r="CI32" s="13" t="s">
        <v>134</v>
      </c>
      <c r="CJ32" s="14" t="s">
        <v>2</v>
      </c>
      <c r="CK32" s="14" t="s">
        <v>2</v>
      </c>
      <c r="CL32" s="13" t="s">
        <v>134</v>
      </c>
      <c r="CM32" s="13" t="s">
        <v>134</v>
      </c>
      <c r="CN32" s="13" t="s">
        <v>134</v>
      </c>
      <c r="CO32" s="13" t="s">
        <v>134</v>
      </c>
      <c r="CP32" s="13" t="s">
        <v>134</v>
      </c>
      <c r="CQ32" s="13" t="s">
        <v>134</v>
      </c>
      <c r="CR32" s="13" t="s">
        <v>134</v>
      </c>
      <c r="CS32" s="13" t="s">
        <v>134</v>
      </c>
      <c r="CT32" s="13" t="s">
        <v>134</v>
      </c>
      <c r="CU32" s="13" t="s">
        <v>134</v>
      </c>
      <c r="CV32" s="13" t="s">
        <v>134</v>
      </c>
      <c r="CW32" s="13" t="s">
        <v>134</v>
      </c>
      <c r="CX32" s="13" t="s">
        <v>134</v>
      </c>
      <c r="CY32" s="13" t="s">
        <v>134</v>
      </c>
      <c r="CZ32" s="13" t="s">
        <v>134</v>
      </c>
      <c r="DA32" s="13" t="s">
        <v>134</v>
      </c>
      <c r="DB32" s="14" t="s">
        <v>2</v>
      </c>
      <c r="DC32" s="13" t="s">
        <v>134</v>
      </c>
      <c r="DD32" s="13" t="s">
        <v>134</v>
      </c>
      <c r="DE32" s="13" t="s">
        <v>134</v>
      </c>
      <c r="DF32" s="13" t="s">
        <v>134</v>
      </c>
      <c r="DG32" s="13" t="s">
        <v>134</v>
      </c>
      <c r="DH32" s="13" t="s">
        <v>134</v>
      </c>
      <c r="DI32" s="13" t="s">
        <v>134</v>
      </c>
      <c r="DJ32" s="13" t="s">
        <v>134</v>
      </c>
      <c r="DK32" s="13" t="s">
        <v>134</v>
      </c>
      <c r="DL32" s="13" t="s">
        <v>134</v>
      </c>
      <c r="DM32" s="13" t="s">
        <v>134</v>
      </c>
      <c r="DN32" s="13" t="s">
        <v>134</v>
      </c>
      <c r="DO32" s="14" t="s">
        <v>2</v>
      </c>
      <c r="DP32" s="14" t="s">
        <v>2</v>
      </c>
      <c r="DQ32" s="13" t="s">
        <v>134</v>
      </c>
      <c r="DR32" s="13" t="s">
        <v>134</v>
      </c>
      <c r="DS32" s="13" t="s">
        <v>134</v>
      </c>
      <c r="DT32" s="13" t="s">
        <v>134</v>
      </c>
      <c r="DU32" s="14" t="s">
        <v>2</v>
      </c>
      <c r="DV32" s="14" t="s">
        <v>2</v>
      </c>
      <c r="DW32" s="13" t="s">
        <v>134</v>
      </c>
      <c r="DX32" s="13" t="s">
        <v>134</v>
      </c>
      <c r="DY32" s="13" t="s">
        <v>134</v>
      </c>
      <c r="DZ32" s="13" t="s">
        <v>134</v>
      </c>
      <c r="EA32" t="s">
        <v>2</v>
      </c>
    </row>
    <row r="33" spans="1:141" x14ac:dyDescent="0.25">
      <c r="A33" s="11" t="s">
        <v>34</v>
      </c>
      <c r="B33" t="s">
        <v>2</v>
      </c>
      <c r="C33" s="19"/>
      <c r="D33" s="20"/>
      <c r="E33" s="20"/>
      <c r="F33" s="20"/>
      <c r="G33" s="20"/>
      <c r="H33" s="20"/>
      <c r="I33" s="20"/>
      <c r="J33" s="58" t="s">
        <v>405</v>
      </c>
      <c r="K33" s="58" t="s">
        <v>381</v>
      </c>
      <c r="L33" s="58" t="s">
        <v>313</v>
      </c>
      <c r="M33" s="212" t="s">
        <v>171</v>
      </c>
      <c r="N33" s="164"/>
      <c r="O33" s="335"/>
      <c r="P33" s="14" t="s">
        <v>2</v>
      </c>
      <c r="Q33" s="14" t="s">
        <v>2</v>
      </c>
      <c r="R33" s="14" t="s">
        <v>2</v>
      </c>
      <c r="S33" s="14" t="s">
        <v>2</v>
      </c>
      <c r="T33" s="14" t="s">
        <v>2</v>
      </c>
      <c r="U33" s="14" t="s">
        <v>2</v>
      </c>
      <c r="V33" s="14" t="s">
        <v>2</v>
      </c>
      <c r="W33" s="14" t="s">
        <v>2</v>
      </c>
      <c r="X33" s="14" t="s">
        <v>2</v>
      </c>
      <c r="Y33" s="14" t="s">
        <v>2</v>
      </c>
      <c r="Z33" s="13" t="s">
        <v>174</v>
      </c>
      <c r="AA33" s="13" t="s">
        <v>174</v>
      </c>
      <c r="AB33" s="13" t="s">
        <v>174</v>
      </c>
      <c r="AC33" s="13" t="s">
        <v>174</v>
      </c>
      <c r="AD33" s="13" t="s">
        <v>174</v>
      </c>
      <c r="AE33" s="13" t="s">
        <v>174</v>
      </c>
      <c r="AF33" s="13" t="s">
        <v>174</v>
      </c>
      <c r="AG33" s="13" t="s">
        <v>174</v>
      </c>
      <c r="AH33" s="14" t="s">
        <v>2</v>
      </c>
      <c r="AI33" s="13" t="s">
        <v>174</v>
      </c>
      <c r="AJ33" s="13" t="s">
        <v>174</v>
      </c>
      <c r="AK33" s="13" t="s">
        <v>174</v>
      </c>
      <c r="AL33" s="14" t="s">
        <v>2</v>
      </c>
      <c r="AM33" s="13" t="s">
        <v>174</v>
      </c>
      <c r="AN33" s="13" t="s">
        <v>174</v>
      </c>
      <c r="AO33" s="13" t="s">
        <v>174</v>
      </c>
      <c r="AP33" s="13" t="s">
        <v>174</v>
      </c>
      <c r="AQ33" s="13" t="s">
        <v>174</v>
      </c>
      <c r="AR33" s="13" t="s">
        <v>174</v>
      </c>
      <c r="AS33" s="14" t="s">
        <v>2</v>
      </c>
      <c r="AT33" s="13" t="s">
        <v>174</v>
      </c>
      <c r="AU33" s="13" t="s">
        <v>174</v>
      </c>
      <c r="AV33" s="13" t="s">
        <v>174</v>
      </c>
      <c r="AW33" s="13" t="s">
        <v>174</v>
      </c>
      <c r="AX33" s="13" t="s">
        <v>174</v>
      </c>
      <c r="AY33" s="13" t="s">
        <v>174</v>
      </c>
      <c r="AZ33" s="13" t="s">
        <v>174</v>
      </c>
      <c r="BA33" s="13" t="s">
        <v>174</v>
      </c>
      <c r="BB33" s="13" t="s">
        <v>174</v>
      </c>
      <c r="BC33" s="13" t="s">
        <v>174</v>
      </c>
      <c r="BD33" s="13" t="s">
        <v>174</v>
      </c>
      <c r="BE33" s="13" t="s">
        <v>174</v>
      </c>
      <c r="BF33" s="13" t="s">
        <v>174</v>
      </c>
      <c r="BG33" s="13" t="s">
        <v>174</v>
      </c>
      <c r="BH33" s="13" t="s">
        <v>174</v>
      </c>
      <c r="BI33" s="13" t="s">
        <v>174</v>
      </c>
      <c r="BJ33" s="13" t="s">
        <v>174</v>
      </c>
      <c r="BK33" s="13" t="s">
        <v>174</v>
      </c>
      <c r="BL33" s="13" t="s">
        <v>174</v>
      </c>
      <c r="BM33" s="13" t="s">
        <v>174</v>
      </c>
      <c r="BN33" s="13" t="s">
        <v>174</v>
      </c>
      <c r="BO33" s="13" t="s">
        <v>174</v>
      </c>
      <c r="BP33" s="13" t="s">
        <v>174</v>
      </c>
      <c r="BQ33" s="13" t="s">
        <v>174</v>
      </c>
      <c r="BR33" s="13" t="s">
        <v>174</v>
      </c>
      <c r="BS33" s="13" t="s">
        <v>174</v>
      </c>
      <c r="BT33" s="13" t="s">
        <v>174</v>
      </c>
      <c r="BU33" s="13" t="s">
        <v>174</v>
      </c>
      <c r="BV33" s="13" t="s">
        <v>174</v>
      </c>
      <c r="BW33" s="13" t="s">
        <v>174</v>
      </c>
      <c r="BX33" s="13" t="s">
        <v>174</v>
      </c>
      <c r="BY33" s="13" t="s">
        <v>174</v>
      </c>
      <c r="BZ33" s="13" t="s">
        <v>174</v>
      </c>
      <c r="CA33" s="13" t="s">
        <v>174</v>
      </c>
      <c r="CB33" s="13" t="s">
        <v>174</v>
      </c>
      <c r="CC33" s="13" t="s">
        <v>174</v>
      </c>
      <c r="CD33" s="13" t="s">
        <v>174</v>
      </c>
      <c r="CE33" s="13" t="s">
        <v>174</v>
      </c>
      <c r="CF33" s="13" t="s">
        <v>174</v>
      </c>
      <c r="CG33" s="13" t="s">
        <v>174</v>
      </c>
      <c r="CH33" s="13" t="s">
        <v>174</v>
      </c>
      <c r="CI33" s="13" t="s">
        <v>174</v>
      </c>
      <c r="CJ33" s="14" t="s">
        <v>2</v>
      </c>
      <c r="CK33" s="14" t="s">
        <v>2</v>
      </c>
      <c r="CL33" s="13" t="s">
        <v>174</v>
      </c>
      <c r="CM33" s="13" t="s">
        <v>174</v>
      </c>
      <c r="CN33" s="13" t="s">
        <v>174</v>
      </c>
      <c r="CO33" s="13" t="s">
        <v>174</v>
      </c>
      <c r="CP33" s="13" t="s">
        <v>174</v>
      </c>
      <c r="CQ33" s="13" t="s">
        <v>174</v>
      </c>
      <c r="CR33" s="13" t="s">
        <v>174</v>
      </c>
      <c r="CS33" s="13" t="s">
        <v>174</v>
      </c>
      <c r="CT33" s="13" t="s">
        <v>174</v>
      </c>
      <c r="CU33" s="13" t="s">
        <v>174</v>
      </c>
      <c r="CV33" s="13" t="s">
        <v>174</v>
      </c>
      <c r="CW33" s="13" t="s">
        <v>174</v>
      </c>
      <c r="CX33" s="13" t="s">
        <v>174</v>
      </c>
      <c r="CY33" s="13" t="s">
        <v>174</v>
      </c>
      <c r="CZ33" s="13" t="s">
        <v>174</v>
      </c>
      <c r="DA33" s="13" t="s">
        <v>174</v>
      </c>
      <c r="DB33" s="14" t="s">
        <v>2</v>
      </c>
      <c r="DC33" s="13" t="s">
        <v>174</v>
      </c>
      <c r="DD33" s="13" t="s">
        <v>174</v>
      </c>
      <c r="DE33" s="13" t="s">
        <v>174</v>
      </c>
      <c r="DF33" s="13" t="s">
        <v>174</v>
      </c>
      <c r="DG33" s="13" t="s">
        <v>174</v>
      </c>
      <c r="DH33" s="13" t="s">
        <v>174</v>
      </c>
      <c r="DI33" s="13" t="s">
        <v>174</v>
      </c>
      <c r="DJ33" s="13" t="s">
        <v>174</v>
      </c>
      <c r="DK33" s="13" t="s">
        <v>174</v>
      </c>
      <c r="DL33" s="13" t="s">
        <v>174</v>
      </c>
      <c r="DM33" s="13" t="s">
        <v>174</v>
      </c>
      <c r="DN33" s="13" t="s">
        <v>174</v>
      </c>
      <c r="DO33" s="14" t="s">
        <v>2</v>
      </c>
      <c r="DP33" s="14" t="s">
        <v>2</v>
      </c>
      <c r="DQ33" s="13" t="s">
        <v>174</v>
      </c>
      <c r="DR33" s="13" t="s">
        <v>174</v>
      </c>
      <c r="DS33" s="13" t="s">
        <v>174</v>
      </c>
      <c r="DT33" s="13" t="s">
        <v>174</v>
      </c>
      <c r="DU33" s="14" t="s">
        <v>2</v>
      </c>
      <c r="DV33" s="14" t="s">
        <v>2</v>
      </c>
      <c r="DW33" s="13" t="s">
        <v>174</v>
      </c>
      <c r="DX33" s="13" t="s">
        <v>174</v>
      </c>
      <c r="DY33" s="13" t="s">
        <v>174</v>
      </c>
      <c r="DZ33" s="13" t="s">
        <v>174</v>
      </c>
      <c r="EA33" t="s">
        <v>2</v>
      </c>
      <c r="EG33" s="42" t="s">
        <v>210</v>
      </c>
      <c r="EH33" s="61">
        <v>0.06</v>
      </c>
      <c r="EI33" s="61">
        <v>0.06</v>
      </c>
      <c r="EJ33" s="61">
        <v>0.06</v>
      </c>
      <c r="EK33" s="61">
        <v>0.06</v>
      </c>
    </row>
    <row r="34" spans="1:141" x14ac:dyDescent="0.25">
      <c r="A34" s="11" t="s">
        <v>35</v>
      </c>
      <c r="B34" t="s">
        <v>2</v>
      </c>
      <c r="C34" s="19"/>
      <c r="D34" s="20"/>
      <c r="E34" s="20"/>
      <c r="F34" s="20"/>
      <c r="G34" s="20"/>
      <c r="H34" s="20"/>
      <c r="I34" s="20"/>
      <c r="J34" s="58" t="s">
        <v>405</v>
      </c>
      <c r="K34" s="58" t="s">
        <v>313</v>
      </c>
      <c r="L34" s="58" t="s">
        <v>171</v>
      </c>
      <c r="M34" s="212" t="s">
        <v>171</v>
      </c>
      <c r="N34" s="164"/>
      <c r="O34" s="335"/>
      <c r="P34" s="14" t="s">
        <v>2</v>
      </c>
      <c r="Q34" s="14" t="s">
        <v>2</v>
      </c>
      <c r="R34" s="14" t="s">
        <v>2</v>
      </c>
      <c r="S34" s="14" t="s">
        <v>2</v>
      </c>
      <c r="T34" s="14" t="s">
        <v>2</v>
      </c>
      <c r="U34" s="14" t="s">
        <v>2</v>
      </c>
      <c r="V34" s="14" t="s">
        <v>2</v>
      </c>
      <c r="W34" s="14" t="s">
        <v>2</v>
      </c>
      <c r="X34" s="14" t="s">
        <v>2</v>
      </c>
      <c r="Y34" s="14" t="s">
        <v>2</v>
      </c>
      <c r="Z34" s="13" t="s">
        <v>84</v>
      </c>
      <c r="AA34" s="13" t="s">
        <v>84</v>
      </c>
      <c r="AB34" s="13" t="s">
        <v>84</v>
      </c>
      <c r="AC34" s="13" t="s">
        <v>84</v>
      </c>
      <c r="AD34" s="13" t="s">
        <v>84</v>
      </c>
      <c r="AE34" s="13" t="s">
        <v>84</v>
      </c>
      <c r="AF34" s="13" t="s">
        <v>84</v>
      </c>
      <c r="AG34" s="13" t="s">
        <v>84</v>
      </c>
      <c r="AH34" s="14" t="s">
        <v>2</v>
      </c>
      <c r="AI34" s="13" t="s">
        <v>84</v>
      </c>
      <c r="AJ34" s="13" t="s">
        <v>84</v>
      </c>
      <c r="AK34" s="13" t="s">
        <v>84</v>
      </c>
      <c r="AL34" s="14" t="s">
        <v>2</v>
      </c>
      <c r="AM34" s="13" t="s">
        <v>84</v>
      </c>
      <c r="AN34" s="13" t="s">
        <v>84</v>
      </c>
      <c r="AO34" s="13" t="s">
        <v>84</v>
      </c>
      <c r="AP34" s="13" t="s">
        <v>84</v>
      </c>
      <c r="AQ34" s="13" t="s">
        <v>84</v>
      </c>
      <c r="AR34" s="13" t="s">
        <v>84</v>
      </c>
      <c r="AS34" s="14" t="s">
        <v>2</v>
      </c>
      <c r="AT34" s="13" t="s">
        <v>84</v>
      </c>
      <c r="AU34" s="13" t="s">
        <v>84</v>
      </c>
      <c r="AV34" s="13" t="s">
        <v>84</v>
      </c>
      <c r="AW34" s="13" t="s">
        <v>84</v>
      </c>
      <c r="AX34" s="13" t="s">
        <v>84</v>
      </c>
      <c r="AY34" s="13" t="s">
        <v>84</v>
      </c>
      <c r="AZ34" s="13" t="s">
        <v>84</v>
      </c>
      <c r="BA34" s="13" t="s">
        <v>84</v>
      </c>
      <c r="BB34" s="13" t="s">
        <v>84</v>
      </c>
      <c r="BC34" s="13" t="s">
        <v>84</v>
      </c>
      <c r="BD34" s="13" t="s">
        <v>84</v>
      </c>
      <c r="BE34" s="13" t="s">
        <v>84</v>
      </c>
      <c r="BF34" s="13" t="s">
        <v>84</v>
      </c>
      <c r="BG34" s="13" t="s">
        <v>84</v>
      </c>
      <c r="BH34" s="13" t="s">
        <v>84</v>
      </c>
      <c r="BI34" s="13" t="s">
        <v>84</v>
      </c>
      <c r="BJ34" s="13" t="s">
        <v>84</v>
      </c>
      <c r="BK34" s="13" t="s">
        <v>84</v>
      </c>
      <c r="BL34" s="13" t="s">
        <v>84</v>
      </c>
      <c r="BM34" s="13" t="s">
        <v>84</v>
      </c>
      <c r="BN34" s="13" t="s">
        <v>84</v>
      </c>
      <c r="BO34" s="13" t="s">
        <v>84</v>
      </c>
      <c r="BP34" s="13" t="s">
        <v>84</v>
      </c>
      <c r="BQ34" s="13" t="s">
        <v>84</v>
      </c>
      <c r="BR34" s="13" t="s">
        <v>84</v>
      </c>
      <c r="BS34" s="13" t="s">
        <v>84</v>
      </c>
      <c r="BT34" s="13" t="s">
        <v>84</v>
      </c>
      <c r="BU34" s="13" t="s">
        <v>84</v>
      </c>
      <c r="BV34" s="13" t="s">
        <v>84</v>
      </c>
      <c r="BW34" s="13" t="s">
        <v>84</v>
      </c>
      <c r="BX34" s="13" t="s">
        <v>84</v>
      </c>
      <c r="BY34" s="13" t="s">
        <v>84</v>
      </c>
      <c r="BZ34" s="13" t="s">
        <v>84</v>
      </c>
      <c r="CA34" s="13" t="s">
        <v>84</v>
      </c>
      <c r="CB34" s="13" t="s">
        <v>84</v>
      </c>
      <c r="CC34" s="13" t="s">
        <v>84</v>
      </c>
      <c r="CD34" s="13" t="s">
        <v>84</v>
      </c>
      <c r="CE34" s="13" t="s">
        <v>84</v>
      </c>
      <c r="CF34" s="13" t="s">
        <v>84</v>
      </c>
      <c r="CG34" s="13" t="s">
        <v>84</v>
      </c>
      <c r="CH34" s="13" t="s">
        <v>84</v>
      </c>
      <c r="CI34" s="13" t="s">
        <v>84</v>
      </c>
      <c r="CJ34" s="14" t="s">
        <v>2</v>
      </c>
      <c r="CK34" s="14" t="s">
        <v>2</v>
      </c>
      <c r="CL34" s="13" t="s">
        <v>84</v>
      </c>
      <c r="CM34" s="13" t="s">
        <v>84</v>
      </c>
      <c r="CN34" s="13" t="s">
        <v>84</v>
      </c>
      <c r="CO34" s="13" t="s">
        <v>84</v>
      </c>
      <c r="CP34" s="13" t="s">
        <v>84</v>
      </c>
      <c r="CQ34" s="13" t="s">
        <v>84</v>
      </c>
      <c r="CR34" s="13" t="s">
        <v>84</v>
      </c>
      <c r="CS34" s="13" t="s">
        <v>84</v>
      </c>
      <c r="CT34" s="13" t="s">
        <v>84</v>
      </c>
      <c r="CU34" s="13" t="s">
        <v>84</v>
      </c>
      <c r="CV34" s="14" t="s">
        <v>2</v>
      </c>
      <c r="CW34" s="14" t="s">
        <v>2</v>
      </c>
      <c r="CX34" s="13" t="s">
        <v>84</v>
      </c>
      <c r="CY34" s="13" t="s">
        <v>84</v>
      </c>
      <c r="CZ34" s="13" t="s">
        <v>84</v>
      </c>
      <c r="DA34" s="13" t="s">
        <v>84</v>
      </c>
      <c r="DB34" s="14" t="s">
        <v>2</v>
      </c>
      <c r="DC34" s="13" t="s">
        <v>84</v>
      </c>
      <c r="DD34" s="13" t="s">
        <v>84</v>
      </c>
      <c r="DE34" s="14" t="s">
        <v>2</v>
      </c>
      <c r="DF34" s="14" t="s">
        <v>2</v>
      </c>
      <c r="DG34" s="13" t="s">
        <v>84</v>
      </c>
      <c r="DH34" s="13" t="s">
        <v>84</v>
      </c>
      <c r="DI34" s="13" t="s">
        <v>84</v>
      </c>
      <c r="DJ34" s="13" t="s">
        <v>84</v>
      </c>
      <c r="DK34" s="13" t="s">
        <v>84</v>
      </c>
      <c r="DL34" s="13" t="s">
        <v>84</v>
      </c>
      <c r="DM34" s="13" t="s">
        <v>84</v>
      </c>
      <c r="DN34" s="13" t="s">
        <v>84</v>
      </c>
      <c r="DO34" s="14" t="s">
        <v>2</v>
      </c>
      <c r="DP34" s="14" t="s">
        <v>2</v>
      </c>
      <c r="DQ34" s="13" t="s">
        <v>84</v>
      </c>
      <c r="DR34" s="13" t="s">
        <v>84</v>
      </c>
      <c r="DS34" s="13" t="s">
        <v>84</v>
      </c>
      <c r="DT34" s="13" t="s">
        <v>84</v>
      </c>
      <c r="DU34" s="14" t="s">
        <v>2</v>
      </c>
      <c r="DV34" s="14" t="s">
        <v>2</v>
      </c>
      <c r="DW34" s="13" t="s">
        <v>84</v>
      </c>
      <c r="DX34" s="13" t="s">
        <v>84</v>
      </c>
      <c r="DY34" s="13" t="s">
        <v>84</v>
      </c>
      <c r="DZ34" s="13" t="s">
        <v>84</v>
      </c>
      <c r="EA34" t="s">
        <v>2</v>
      </c>
      <c r="EG34" s="42"/>
      <c r="EH34" s="61"/>
      <c r="EI34" s="61"/>
      <c r="EJ34" s="61"/>
      <c r="EK34" s="61"/>
    </row>
    <row r="35" spans="1:141" x14ac:dyDescent="0.25">
      <c r="A35" s="11" t="s">
        <v>36</v>
      </c>
      <c r="B35" t="s">
        <v>2</v>
      </c>
      <c r="C35" s="19"/>
      <c r="D35" s="20"/>
      <c r="E35" s="20"/>
      <c r="F35" s="20"/>
      <c r="G35" s="20"/>
      <c r="H35" s="20"/>
      <c r="I35" s="20"/>
      <c r="J35" s="58" t="s">
        <v>381</v>
      </c>
      <c r="K35" s="58" t="s">
        <v>381</v>
      </c>
      <c r="L35" s="58" t="s">
        <v>313</v>
      </c>
      <c r="M35" s="221" t="s">
        <v>162</v>
      </c>
      <c r="N35" s="164"/>
      <c r="O35" s="335"/>
      <c r="P35" s="14"/>
      <c r="Q35" s="14"/>
      <c r="R35" s="14"/>
      <c r="S35" s="14"/>
      <c r="T35" s="14"/>
      <c r="U35" s="14"/>
      <c r="V35" s="14"/>
      <c r="W35" s="14"/>
      <c r="X35" s="14"/>
      <c r="Y35" s="14"/>
      <c r="Z35" s="13" t="s">
        <v>85</v>
      </c>
      <c r="AA35" s="13" t="s">
        <v>85</v>
      </c>
      <c r="AB35" s="13" t="s">
        <v>85</v>
      </c>
      <c r="AC35" s="13" t="s">
        <v>85</v>
      </c>
      <c r="AD35" s="13" t="s">
        <v>85</v>
      </c>
      <c r="AE35" s="13" t="s">
        <v>85</v>
      </c>
      <c r="AF35" s="13" t="s">
        <v>85</v>
      </c>
      <c r="AG35" s="13" t="s">
        <v>85</v>
      </c>
      <c r="AH35" s="14" t="s">
        <v>2</v>
      </c>
      <c r="AI35" s="13" t="s">
        <v>85</v>
      </c>
      <c r="AJ35" s="14" t="s">
        <v>2</v>
      </c>
      <c r="AK35" s="14" t="s">
        <v>2</v>
      </c>
      <c r="AL35" s="14" t="s">
        <v>2</v>
      </c>
      <c r="AM35" s="13" t="s">
        <v>85</v>
      </c>
      <c r="AN35" s="13" t="s">
        <v>85</v>
      </c>
      <c r="AO35" s="13" t="s">
        <v>85</v>
      </c>
      <c r="AP35" s="13" t="s">
        <v>85</v>
      </c>
      <c r="AQ35" s="13" t="s">
        <v>85</v>
      </c>
      <c r="AR35" s="13" t="s">
        <v>85</v>
      </c>
      <c r="AS35" s="14" t="s">
        <v>2</v>
      </c>
      <c r="AT35" s="13" t="s">
        <v>85</v>
      </c>
      <c r="AU35" s="13" t="s">
        <v>85</v>
      </c>
      <c r="AV35" s="13" t="s">
        <v>85</v>
      </c>
      <c r="AW35" s="13" t="s">
        <v>85</v>
      </c>
      <c r="AX35" s="13" t="s">
        <v>85</v>
      </c>
      <c r="AY35" s="13" t="s">
        <v>85</v>
      </c>
      <c r="AZ35" s="13" t="s">
        <v>85</v>
      </c>
      <c r="BA35" s="13" t="s">
        <v>85</v>
      </c>
      <c r="BB35" s="13" t="s">
        <v>85</v>
      </c>
      <c r="BC35" s="13" t="s">
        <v>85</v>
      </c>
      <c r="BD35" s="14" t="s">
        <v>2</v>
      </c>
      <c r="BE35" s="14" t="s">
        <v>2</v>
      </c>
      <c r="BF35" s="13" t="s">
        <v>85</v>
      </c>
      <c r="BG35" s="13" t="s">
        <v>85</v>
      </c>
      <c r="BH35" s="14" t="s">
        <v>2</v>
      </c>
      <c r="BI35" s="14" t="s">
        <v>2</v>
      </c>
      <c r="BJ35" s="14" t="s">
        <v>2</v>
      </c>
      <c r="BK35" s="14" t="s">
        <v>2</v>
      </c>
      <c r="BL35" s="14" t="s">
        <v>2</v>
      </c>
      <c r="BM35" s="14" t="s">
        <v>2</v>
      </c>
      <c r="BN35" s="14" t="s">
        <v>2</v>
      </c>
      <c r="BO35" s="14" t="s">
        <v>2</v>
      </c>
      <c r="BP35" s="14" t="s">
        <v>2</v>
      </c>
      <c r="BQ35" s="14" t="s">
        <v>2</v>
      </c>
      <c r="BR35" s="13" t="s">
        <v>85</v>
      </c>
      <c r="BS35" s="13" t="s">
        <v>85</v>
      </c>
      <c r="BT35" s="14" t="s">
        <v>2</v>
      </c>
      <c r="BU35" s="14" t="s">
        <v>2</v>
      </c>
      <c r="BV35" s="13" t="s">
        <v>85</v>
      </c>
      <c r="BW35" s="13" t="s">
        <v>85</v>
      </c>
      <c r="BX35" s="14" t="s">
        <v>2</v>
      </c>
      <c r="BY35" s="14" t="s">
        <v>2</v>
      </c>
      <c r="BZ35" s="14" t="s">
        <v>2</v>
      </c>
      <c r="CA35" s="14" t="s">
        <v>2</v>
      </c>
      <c r="CB35" s="13" t="s">
        <v>85</v>
      </c>
      <c r="CC35" s="13" t="s">
        <v>85</v>
      </c>
      <c r="CD35" s="13" t="s">
        <v>85</v>
      </c>
      <c r="CE35" s="13" t="s">
        <v>85</v>
      </c>
      <c r="CF35" s="13" t="s">
        <v>85</v>
      </c>
      <c r="CG35" s="13" t="s">
        <v>85</v>
      </c>
      <c r="CH35" s="13" t="s">
        <v>85</v>
      </c>
      <c r="CI35" s="13" t="s">
        <v>85</v>
      </c>
      <c r="CJ35" s="14" t="s">
        <v>2</v>
      </c>
      <c r="CK35" s="14" t="s">
        <v>2</v>
      </c>
      <c r="CL35" s="14" t="s">
        <v>2</v>
      </c>
      <c r="CM35" s="14" t="s">
        <v>2</v>
      </c>
      <c r="CN35" s="14" t="s">
        <v>2</v>
      </c>
      <c r="CO35" s="14" t="s">
        <v>2</v>
      </c>
      <c r="CP35" s="14" t="s">
        <v>2</v>
      </c>
      <c r="CQ35" s="14" t="s">
        <v>2</v>
      </c>
      <c r="CR35" s="14" t="s">
        <v>2</v>
      </c>
      <c r="CS35" s="14" t="s">
        <v>2</v>
      </c>
      <c r="CT35" s="14" t="s">
        <v>2</v>
      </c>
      <c r="CU35" s="14" t="s">
        <v>2</v>
      </c>
      <c r="CV35" s="14" t="s">
        <v>2</v>
      </c>
      <c r="CW35" s="14" t="s">
        <v>2</v>
      </c>
      <c r="CX35" s="14" t="s">
        <v>2</v>
      </c>
      <c r="CY35" s="14" t="s">
        <v>2</v>
      </c>
      <c r="CZ35" s="13" t="s">
        <v>85</v>
      </c>
      <c r="DA35" s="13" t="s">
        <v>85</v>
      </c>
      <c r="DB35" s="14" t="s">
        <v>2</v>
      </c>
      <c r="DC35" s="14" t="s">
        <v>2</v>
      </c>
      <c r="DD35" s="14" t="s">
        <v>2</v>
      </c>
      <c r="DE35" s="14" t="s">
        <v>2</v>
      </c>
      <c r="DF35" s="14" t="s">
        <v>2</v>
      </c>
      <c r="DG35" s="13" t="s">
        <v>85</v>
      </c>
      <c r="DH35" s="13" t="s">
        <v>85</v>
      </c>
      <c r="DI35" s="13" t="s">
        <v>85</v>
      </c>
      <c r="DJ35" s="13" t="s">
        <v>85</v>
      </c>
      <c r="DK35" s="13" t="s">
        <v>85</v>
      </c>
      <c r="DL35" s="13" t="s">
        <v>85</v>
      </c>
      <c r="DM35" s="13" t="s">
        <v>85</v>
      </c>
      <c r="DN35" s="13" t="s">
        <v>85</v>
      </c>
      <c r="DO35" s="14" t="s">
        <v>2</v>
      </c>
      <c r="DP35" s="14" t="s">
        <v>2</v>
      </c>
      <c r="DQ35" s="14" t="s">
        <v>2</v>
      </c>
      <c r="DR35" s="14" t="s">
        <v>2</v>
      </c>
      <c r="DS35" s="14" t="s">
        <v>2</v>
      </c>
      <c r="DT35" s="14" t="s">
        <v>2</v>
      </c>
      <c r="DU35" s="14" t="s">
        <v>2</v>
      </c>
      <c r="DV35" s="14" t="s">
        <v>2</v>
      </c>
      <c r="DW35" s="14" t="s">
        <v>2</v>
      </c>
      <c r="DX35" s="14" t="s">
        <v>2</v>
      </c>
      <c r="DY35" s="14" t="s">
        <v>2</v>
      </c>
      <c r="DZ35" s="14" t="s">
        <v>2</v>
      </c>
      <c r="EA35" t="s">
        <v>2</v>
      </c>
      <c r="EG35" s="42" t="s">
        <v>413</v>
      </c>
      <c r="EH35" s="61"/>
      <c r="EI35" s="61"/>
      <c r="EJ35" s="61"/>
      <c r="EK35" s="61"/>
    </row>
    <row r="36" spans="1:141" x14ac:dyDescent="0.25">
      <c r="A36" s="11" t="s">
        <v>37</v>
      </c>
      <c r="B36" t="s">
        <v>2</v>
      </c>
      <c r="C36" s="19"/>
      <c r="D36" s="20"/>
      <c r="E36" s="20"/>
      <c r="F36" s="20"/>
      <c r="G36" s="20"/>
      <c r="H36" s="20"/>
      <c r="I36" s="20"/>
      <c r="J36" s="58" t="s">
        <v>405</v>
      </c>
      <c r="K36" s="58" t="s">
        <v>381</v>
      </c>
      <c r="L36" s="58" t="s">
        <v>171</v>
      </c>
      <c r="M36" s="212" t="s">
        <v>171</v>
      </c>
      <c r="N36" s="164"/>
      <c r="O36" s="336"/>
      <c r="P36" s="15" t="s">
        <v>2</v>
      </c>
      <c r="Q36" s="15" t="s">
        <v>2</v>
      </c>
      <c r="R36" s="15" t="s">
        <v>2</v>
      </c>
      <c r="S36" s="15" t="s">
        <v>2</v>
      </c>
      <c r="T36" s="15" t="s">
        <v>2</v>
      </c>
      <c r="U36" s="15" t="s">
        <v>2</v>
      </c>
      <c r="V36" s="15" t="s">
        <v>2</v>
      </c>
      <c r="W36" s="15" t="s">
        <v>2</v>
      </c>
      <c r="X36" s="15" t="s">
        <v>2</v>
      </c>
      <c r="Y36" s="15" t="s">
        <v>2</v>
      </c>
      <c r="Z36" s="45" t="s">
        <v>86</v>
      </c>
      <c r="AA36" s="45" t="s">
        <v>86</v>
      </c>
      <c r="AB36" s="45" t="s">
        <v>86</v>
      </c>
      <c r="AC36" s="45" t="s">
        <v>86</v>
      </c>
      <c r="AD36" s="45" t="s">
        <v>86</v>
      </c>
      <c r="AE36" s="45" t="s">
        <v>86</v>
      </c>
      <c r="AF36" s="45" t="s">
        <v>86</v>
      </c>
      <c r="AG36" s="45" t="s">
        <v>86</v>
      </c>
      <c r="AH36" s="15" t="s">
        <v>2</v>
      </c>
      <c r="AI36" s="45" t="s">
        <v>86</v>
      </c>
      <c r="AJ36" s="15" t="s">
        <v>2</v>
      </c>
      <c r="AK36" s="15" t="s">
        <v>2</v>
      </c>
      <c r="AL36" s="15" t="s">
        <v>2</v>
      </c>
      <c r="AM36" s="45" t="s">
        <v>86</v>
      </c>
      <c r="AN36" s="45" t="s">
        <v>86</v>
      </c>
      <c r="AO36" s="45" t="s">
        <v>86</v>
      </c>
      <c r="AP36" s="45" t="s">
        <v>86</v>
      </c>
      <c r="AQ36" s="45" t="s">
        <v>86</v>
      </c>
      <c r="AR36" s="45" t="s">
        <v>86</v>
      </c>
      <c r="AS36" s="15" t="s">
        <v>2</v>
      </c>
      <c r="AT36" s="45" t="s">
        <v>86</v>
      </c>
      <c r="AU36" s="45" t="s">
        <v>86</v>
      </c>
      <c r="AV36" s="45" t="s">
        <v>86</v>
      </c>
      <c r="AW36" s="45" t="s">
        <v>86</v>
      </c>
      <c r="AX36" s="45" t="s">
        <v>86</v>
      </c>
      <c r="AY36" s="45" t="s">
        <v>86</v>
      </c>
      <c r="AZ36" s="45" t="s">
        <v>86</v>
      </c>
      <c r="BA36" s="45" t="s">
        <v>86</v>
      </c>
      <c r="BB36" s="45" t="s">
        <v>86</v>
      </c>
      <c r="BC36" s="45" t="s">
        <v>86</v>
      </c>
      <c r="BD36" s="15" t="s">
        <v>2</v>
      </c>
      <c r="BE36" s="15" t="s">
        <v>2</v>
      </c>
      <c r="BF36" s="45" t="s">
        <v>86</v>
      </c>
      <c r="BG36" s="45" t="s">
        <v>86</v>
      </c>
      <c r="BH36" s="15" t="s">
        <v>2</v>
      </c>
      <c r="BI36" s="15" t="s">
        <v>2</v>
      </c>
      <c r="BJ36" s="15" t="s">
        <v>2</v>
      </c>
      <c r="BK36" s="15" t="s">
        <v>2</v>
      </c>
      <c r="BL36" s="15" t="s">
        <v>2</v>
      </c>
      <c r="BM36" s="15" t="s">
        <v>2</v>
      </c>
      <c r="BN36" s="15" t="s">
        <v>2</v>
      </c>
      <c r="BO36" s="15" t="s">
        <v>2</v>
      </c>
      <c r="BP36" s="15" t="s">
        <v>2</v>
      </c>
      <c r="BQ36" s="15" t="s">
        <v>2</v>
      </c>
      <c r="BR36" s="45" t="s">
        <v>86</v>
      </c>
      <c r="BS36" s="45" t="s">
        <v>86</v>
      </c>
      <c r="BT36" s="15" t="s">
        <v>2</v>
      </c>
      <c r="BU36" s="15" t="s">
        <v>2</v>
      </c>
      <c r="BV36" s="45" t="s">
        <v>86</v>
      </c>
      <c r="BW36" s="45" t="s">
        <v>86</v>
      </c>
      <c r="BX36" s="15" t="s">
        <v>2</v>
      </c>
      <c r="BY36" s="15" t="s">
        <v>2</v>
      </c>
      <c r="BZ36" s="15" t="s">
        <v>2</v>
      </c>
      <c r="CA36" s="15" t="s">
        <v>2</v>
      </c>
      <c r="CB36" s="45" t="s">
        <v>86</v>
      </c>
      <c r="CC36" s="45" t="s">
        <v>86</v>
      </c>
      <c r="CD36" s="45" t="s">
        <v>86</v>
      </c>
      <c r="CE36" s="45" t="s">
        <v>86</v>
      </c>
      <c r="CF36" s="45" t="s">
        <v>86</v>
      </c>
      <c r="CG36" s="45" t="s">
        <v>86</v>
      </c>
      <c r="CH36" s="45" t="s">
        <v>86</v>
      </c>
      <c r="CI36" s="45" t="s">
        <v>86</v>
      </c>
      <c r="CJ36" s="15" t="s">
        <v>2</v>
      </c>
      <c r="CK36" s="15" t="s">
        <v>2</v>
      </c>
      <c r="CL36" s="15" t="s">
        <v>2</v>
      </c>
      <c r="CM36" s="15" t="s">
        <v>2</v>
      </c>
      <c r="CN36" s="14" t="s">
        <v>2</v>
      </c>
      <c r="CO36" s="14" t="s">
        <v>2</v>
      </c>
      <c r="CP36" s="15" t="s">
        <v>2</v>
      </c>
      <c r="CQ36" s="15" t="s">
        <v>2</v>
      </c>
      <c r="CR36" s="15" t="s">
        <v>2</v>
      </c>
      <c r="CS36" s="15" t="s">
        <v>2</v>
      </c>
      <c r="CT36" s="15" t="s">
        <v>2</v>
      </c>
      <c r="CU36" s="15" t="s">
        <v>2</v>
      </c>
      <c r="CV36" s="15" t="s">
        <v>2</v>
      </c>
      <c r="CW36" s="15" t="s">
        <v>2</v>
      </c>
      <c r="CX36" s="15" t="s">
        <v>2</v>
      </c>
      <c r="CY36" s="15" t="s">
        <v>2</v>
      </c>
      <c r="CZ36" s="45" t="s">
        <v>86</v>
      </c>
      <c r="DA36" s="45" t="s">
        <v>86</v>
      </c>
      <c r="DB36" s="15" t="s">
        <v>2</v>
      </c>
      <c r="DC36" s="15" t="s">
        <v>2</v>
      </c>
      <c r="DD36" s="15" t="s">
        <v>2</v>
      </c>
      <c r="DE36" s="15" t="s">
        <v>2</v>
      </c>
      <c r="DF36" s="15" t="s">
        <v>2</v>
      </c>
      <c r="DG36" s="45" t="s">
        <v>86</v>
      </c>
      <c r="DH36" s="45" t="s">
        <v>86</v>
      </c>
      <c r="DI36" s="45" t="s">
        <v>86</v>
      </c>
      <c r="DJ36" s="45" t="s">
        <v>86</v>
      </c>
      <c r="DK36" s="45" t="s">
        <v>86</v>
      </c>
      <c r="DL36" s="45" t="s">
        <v>86</v>
      </c>
      <c r="DM36" s="45" t="s">
        <v>86</v>
      </c>
      <c r="DN36" s="45" t="s">
        <v>86</v>
      </c>
      <c r="DO36" s="15" t="s">
        <v>2</v>
      </c>
      <c r="DP36" s="15" t="s">
        <v>2</v>
      </c>
      <c r="DQ36" s="15" t="s">
        <v>2</v>
      </c>
      <c r="DR36" s="15" t="s">
        <v>2</v>
      </c>
      <c r="DS36" s="15" t="s">
        <v>2</v>
      </c>
      <c r="DT36" s="15" t="s">
        <v>2</v>
      </c>
      <c r="DU36" s="15" t="s">
        <v>2</v>
      </c>
      <c r="DV36" s="15" t="s">
        <v>2</v>
      </c>
      <c r="DW36" s="15" t="s">
        <v>2</v>
      </c>
      <c r="DX36" s="15" t="s">
        <v>2</v>
      </c>
      <c r="DY36" s="15" t="s">
        <v>2</v>
      </c>
      <c r="DZ36" s="15" t="s">
        <v>2</v>
      </c>
      <c r="EA36" t="s">
        <v>2</v>
      </c>
      <c r="EG36" s="62" t="s">
        <v>420</v>
      </c>
      <c r="EH36" s="61">
        <v>0.75</v>
      </c>
      <c r="EI36" s="61">
        <v>0.75</v>
      </c>
      <c r="EJ36" s="61">
        <v>0.75</v>
      </c>
      <c r="EK36" s="61">
        <v>0.75</v>
      </c>
    </row>
    <row r="37" spans="1:141" ht="15" customHeight="1" x14ac:dyDescent="0.25">
      <c r="A37" s="11" t="s">
        <v>38</v>
      </c>
      <c r="B37" t="s">
        <v>2</v>
      </c>
      <c r="C37" s="19"/>
      <c r="D37" s="20"/>
      <c r="E37" s="20"/>
      <c r="F37" s="20"/>
      <c r="G37" s="20"/>
      <c r="H37" s="20"/>
      <c r="I37" s="20"/>
      <c r="J37" s="58" t="s">
        <v>405</v>
      </c>
      <c r="K37" s="58" t="s">
        <v>381</v>
      </c>
      <c r="L37" s="58" t="s">
        <v>313</v>
      </c>
      <c r="M37" s="216" t="s">
        <v>171</v>
      </c>
      <c r="N37" s="164"/>
      <c r="EA37" t="s">
        <v>2</v>
      </c>
      <c r="EG37" s="62" t="s">
        <v>421</v>
      </c>
      <c r="EH37" s="61">
        <v>0.75</v>
      </c>
      <c r="EI37" s="61">
        <v>0.75</v>
      </c>
      <c r="EJ37" s="61">
        <v>0.75</v>
      </c>
      <c r="EK37" s="61">
        <v>0.7</v>
      </c>
    </row>
    <row r="38" spans="1:141" x14ac:dyDescent="0.25">
      <c r="A38" s="11" t="s">
        <v>39</v>
      </c>
      <c r="B38" t="s">
        <v>2</v>
      </c>
      <c r="C38" s="19"/>
      <c r="D38" s="20"/>
      <c r="E38" s="20"/>
      <c r="F38" s="20"/>
      <c r="G38" s="20"/>
      <c r="H38" s="20"/>
      <c r="I38" s="20"/>
      <c r="J38" s="58" t="s">
        <v>405</v>
      </c>
      <c r="K38" s="58" t="s">
        <v>381</v>
      </c>
      <c r="L38" s="58" t="s">
        <v>313</v>
      </c>
      <c r="M38" s="221" t="s">
        <v>162</v>
      </c>
      <c r="N38" s="164"/>
      <c r="O38" s="334" t="s">
        <v>88</v>
      </c>
      <c r="P38" s="28" t="str">
        <f>$P$3</f>
        <v xml:space="preserve">  RFA 2023-102</v>
      </c>
      <c r="Q38" s="28" t="str">
        <f>$Q$3</f>
        <v xml:space="preserve">  RFA 2023-102SF</v>
      </c>
      <c r="R38" s="28" t="str">
        <f>$R$3</f>
        <v xml:space="preserve">  RFA 2023-103</v>
      </c>
      <c r="S38" s="28" t="str">
        <f>$S$3</f>
        <v xml:space="preserve">  RFA 2023-103SF</v>
      </c>
      <c r="T38" s="28" t="str">
        <f>$T$3</f>
        <v xml:space="preserve">  RFA 2023-104</v>
      </c>
      <c r="U38" s="28" t="str">
        <f>$U$3</f>
        <v xml:space="preserve">  RFA 2023-104SF</v>
      </c>
      <c r="V38" s="28" t="str">
        <f>$V$3</f>
        <v xml:space="preserve">  RFA 2023-105</v>
      </c>
      <c r="W38" s="28" t="str">
        <f>$W$3</f>
        <v xml:space="preserve">  RFA 2023-106</v>
      </c>
      <c r="X38" s="28" t="str">
        <f>$X$3</f>
        <v xml:space="preserve">  RFA 2023-106SF</v>
      </c>
      <c r="Y38" s="28" t="str">
        <f>$Y$3</f>
        <v xml:space="preserve">  RFA 2023-108</v>
      </c>
      <c r="Z38" s="167" t="str">
        <f>$Z$3</f>
        <v xml:space="preserve">  RFA 2023-201</v>
      </c>
      <c r="AA38" s="167" t="str">
        <f>$AA$3</f>
        <v xml:space="preserve">  RFA 2023-202</v>
      </c>
      <c r="AB38" s="167" t="str">
        <f>$AB$3</f>
        <v xml:space="preserve">  RFA 2023-202SF</v>
      </c>
      <c r="AC38" s="167" t="str">
        <f>$AC$3</f>
        <v xml:space="preserve">  RFA 2023-203SF</v>
      </c>
      <c r="AD38" s="167" t="s">
        <v>267</v>
      </c>
      <c r="AE38" s="167" t="s">
        <v>268</v>
      </c>
      <c r="AF38" s="167" t="str">
        <f>$AF$3</f>
        <v xml:space="preserve">  RFA 2023-205</v>
      </c>
      <c r="AG38" s="167" t="str">
        <f>$AG$3</f>
        <v xml:space="preserve">  RFA 2023-205SF</v>
      </c>
      <c r="AH38" s="214" t="str">
        <f>$AH$3</f>
        <v xml:space="preserve">  RFA 2023-211</v>
      </c>
      <c r="AI38" s="167" t="str">
        <f>$AI$3</f>
        <v xml:space="preserve">  RFA 2023-212</v>
      </c>
      <c r="AJ38" s="167" t="str">
        <f>$AJ$3</f>
        <v xml:space="preserve">  RFA 2023-213</v>
      </c>
      <c r="AK38" s="167" t="str">
        <f>AK$3</f>
        <v xml:space="preserve">  RFA 2023-213SF</v>
      </c>
      <c r="AL38" s="214" t="str">
        <f>$AL$3</f>
        <v xml:space="preserve">  RFA 2023-304</v>
      </c>
      <c r="AM38" s="167" t="str">
        <f>$AM$3</f>
        <v xml:space="preserve">  RFA 2024-102</v>
      </c>
      <c r="AN38" s="167" t="str">
        <f>$AN$3</f>
        <v xml:space="preserve">  RFA 2024-102SF</v>
      </c>
      <c r="AO38" s="167" t="str">
        <f>$AO$3</f>
        <v xml:space="preserve">  RFA 2024-103</v>
      </c>
      <c r="AP38" s="167" t="str">
        <f>$AP$3</f>
        <v xml:space="preserve">  RFA 2024-103SF</v>
      </c>
      <c r="AQ38" s="167" t="str">
        <f>$AQ$3</f>
        <v xml:space="preserve">  RFA 2024-104</v>
      </c>
      <c r="AR38" s="167" t="str">
        <f>$AR$3</f>
        <v xml:space="preserve">  RFA 2024-104SF</v>
      </c>
      <c r="AS38" s="167" t="str">
        <f>$AS$3</f>
        <v xml:space="preserve">  RFA 2024-105</v>
      </c>
      <c r="AT38" s="167" t="str">
        <f t="shared" ref="AT38:BC38" si="35">AT3</f>
        <v xml:space="preserve">  RFA 2024-106</v>
      </c>
      <c r="AU38" s="167" t="str">
        <f t="shared" si="35"/>
        <v xml:space="preserve">  RFA 2024-106SF</v>
      </c>
      <c r="AV38" s="167" t="str">
        <f t="shared" si="35"/>
        <v xml:space="preserve">  RFA 2024-201</v>
      </c>
      <c r="AW38" s="167" t="str">
        <f t="shared" si="35"/>
        <v xml:space="preserve">  RFA 2024-202</v>
      </c>
      <c r="AX38" s="167" t="str">
        <f t="shared" si="35"/>
        <v xml:space="preserve">  RFA 2024-202SF</v>
      </c>
      <c r="AY38" s="167" t="str">
        <f t="shared" si="35"/>
        <v xml:space="preserve">  RFA 2024-203</v>
      </c>
      <c r="AZ38" s="167" t="str">
        <f t="shared" si="35"/>
        <v xml:space="preserve">  RFA 2024-204</v>
      </c>
      <c r="BA38" s="167" t="str">
        <f t="shared" si="35"/>
        <v xml:space="preserve">  RFA 2024-204SF</v>
      </c>
      <c r="BB38" s="167" t="str">
        <f t="shared" si="35"/>
        <v xml:space="preserve">  RFA 2024-205</v>
      </c>
      <c r="BC38" s="167" t="str">
        <f t="shared" si="35"/>
        <v xml:space="preserve">  RFA 2024-205SF</v>
      </c>
      <c r="BD38" s="167" t="str">
        <f>$BD$3</f>
        <v xml:space="preserve">  RFA 2024-206</v>
      </c>
      <c r="BE38" s="167" t="str">
        <f t="shared" ref="BE38:BY38" si="36">BE3</f>
        <v xml:space="preserve">  RFA 2024-206SF</v>
      </c>
      <c r="BF38" s="167" t="str">
        <f>$BF$3</f>
        <v xml:space="preserve">  RFA 2024-213</v>
      </c>
      <c r="BG38" s="167" t="str">
        <f>$BG$3</f>
        <v xml:space="preserve">  RFA 2024-213SF</v>
      </c>
      <c r="BH38" s="167" t="str">
        <f t="shared" si="36"/>
        <v xml:space="preserve">  RFA 2024-214</v>
      </c>
      <c r="BI38" s="167" t="str">
        <f t="shared" si="36"/>
        <v xml:space="preserve">  RFA 2024-214SF</v>
      </c>
      <c r="BJ38" s="167" t="str">
        <f t="shared" si="36"/>
        <v xml:space="preserve">  RFA 2024-215</v>
      </c>
      <c r="BK38" s="167" t="str">
        <f t="shared" si="36"/>
        <v xml:space="preserve">  RFA 2024-215SF</v>
      </c>
      <c r="BL38" s="167" t="str">
        <f t="shared" si="36"/>
        <v xml:space="preserve">  RFA 2024-216</v>
      </c>
      <c r="BM38" s="167" t="str">
        <f t="shared" si="36"/>
        <v xml:space="preserve">  RFA 2024-216SF</v>
      </c>
      <c r="BN38" s="167" t="str">
        <f t="shared" si="36"/>
        <v xml:space="preserve">  RFA 2024-305</v>
      </c>
      <c r="BO38" s="167" t="str">
        <f t="shared" si="36"/>
        <v xml:space="preserve">  RFA 2024-305SF</v>
      </c>
      <c r="BP38" s="167" t="str">
        <f t="shared" si="36"/>
        <v xml:space="preserve">  RFA 2024-306</v>
      </c>
      <c r="BQ38" s="167" t="str">
        <f t="shared" ref="BQ38:BW38" si="37">BQ3</f>
        <v xml:space="preserve">  RFA 2024-306SF</v>
      </c>
      <c r="BR38" s="167" t="str">
        <f t="shared" si="36"/>
        <v xml:space="preserve">  RFA 2025-102</v>
      </c>
      <c r="BS38" s="167" t="str">
        <f t="shared" si="37"/>
        <v xml:space="preserve">  RFA 2025-102SF</v>
      </c>
      <c r="BT38" s="167" t="str">
        <f t="shared" si="36"/>
        <v xml:space="preserve">  RFA 2025-103</v>
      </c>
      <c r="BU38" s="167" t="str">
        <f t="shared" si="37"/>
        <v xml:space="preserve">  RFA 2025-103SF</v>
      </c>
      <c r="BV38" s="167" t="str">
        <f t="shared" si="36"/>
        <v xml:space="preserve">  RFA 2025-104</v>
      </c>
      <c r="BW38" s="167" t="str">
        <f t="shared" si="37"/>
        <v xml:space="preserve">  RFA 2025-104SF</v>
      </c>
      <c r="BX38" s="167" t="str">
        <f t="shared" si="36"/>
        <v xml:space="preserve">  RFA 2025-106</v>
      </c>
      <c r="BY38" s="167" t="str">
        <f t="shared" si="36"/>
        <v xml:space="preserve">  RFA 2025-106SF</v>
      </c>
      <c r="BZ38" s="167" t="str">
        <f>$BZ$3</f>
        <v xml:space="preserve">  RFA 2025-108</v>
      </c>
      <c r="CA38" s="167" t="str">
        <f>$CA$3</f>
        <v xml:space="preserve">  RFA 2025-108SF</v>
      </c>
      <c r="CB38" s="167" t="str">
        <f t="shared" ref="CB38:CI38" si="38">CB3</f>
        <v xml:space="preserve">  RFA 2025-201</v>
      </c>
      <c r="CC38" s="167" t="str">
        <f t="shared" si="38"/>
        <v xml:space="preserve">  RFA 2025-202</v>
      </c>
      <c r="CD38" s="167" t="str">
        <f t="shared" si="38"/>
        <v xml:space="preserve">  RFA 2025-202SF</v>
      </c>
      <c r="CE38" s="167" t="str">
        <f t="shared" si="38"/>
        <v xml:space="preserve">  RFA 2025-203</v>
      </c>
      <c r="CF38" s="167" t="str">
        <f t="shared" si="38"/>
        <v xml:space="preserve">  RFA 2025-204</v>
      </c>
      <c r="CG38" s="167" t="str">
        <f t="shared" si="38"/>
        <v xml:space="preserve">  RFA 2025-204SF</v>
      </c>
      <c r="CH38" s="167" t="str">
        <f t="shared" si="38"/>
        <v xml:space="preserve">  RFA 2025-205</v>
      </c>
      <c r="CI38" s="167" t="str">
        <f t="shared" si="38"/>
        <v xml:space="preserve">  RFA 2025-205SF</v>
      </c>
      <c r="CJ38" s="167" t="str">
        <f t="shared" ref="CJ38:CK38" si="39">CJ3</f>
        <v xml:space="preserve">  RFA 2025-206</v>
      </c>
      <c r="CK38" s="167" t="str">
        <f t="shared" si="39"/>
        <v xml:space="preserve">  RFA 2025-206SF</v>
      </c>
      <c r="CL38" s="167" t="str">
        <f>CL29</f>
        <v xml:space="preserve">  RFA 2025-212</v>
      </c>
      <c r="CM38" s="167" t="str">
        <f>CM29</f>
        <v xml:space="preserve">  RFA 2025-212SF</v>
      </c>
      <c r="CN38" s="167" t="str">
        <f>CN29</f>
        <v xml:space="preserve">  RFA 2025-213</v>
      </c>
      <c r="CO38" s="167" t="str">
        <f>CO29</f>
        <v xml:space="preserve">  RFA 2025-213SF</v>
      </c>
      <c r="CP38" s="167" t="str">
        <f t="shared" ref="CP38:CY38" si="40">CP3</f>
        <v xml:space="preserve">  RFA 2025-214</v>
      </c>
      <c r="CQ38" s="167" t="str">
        <f t="shared" si="40"/>
        <v xml:space="preserve">  RFA 2025-214SF</v>
      </c>
      <c r="CR38" s="167" t="str">
        <f t="shared" si="40"/>
        <v xml:space="preserve">  RFA 2025-215</v>
      </c>
      <c r="CS38" s="167" t="str">
        <f t="shared" si="40"/>
        <v xml:space="preserve">  RFA 2025-215SF</v>
      </c>
      <c r="CT38" s="167" t="str">
        <f>CT3</f>
        <v xml:space="preserve">  RFA 2025-216</v>
      </c>
      <c r="CU38" s="167" t="str">
        <f>CU3</f>
        <v xml:space="preserve">  RFA 2025-216SF</v>
      </c>
      <c r="CV38" s="167" t="str">
        <f t="shared" si="40"/>
        <v xml:space="preserve">  RFA 2026-102</v>
      </c>
      <c r="CW38" s="167" t="str">
        <f t="shared" si="40"/>
        <v xml:space="preserve">  RFA 2026-102SF</v>
      </c>
      <c r="CX38" s="167" t="str">
        <f t="shared" si="40"/>
        <v xml:space="preserve">  RFA 2026-103</v>
      </c>
      <c r="CY38" s="167" t="str">
        <f t="shared" si="40"/>
        <v xml:space="preserve">  RFA 2026-103SF</v>
      </c>
      <c r="CZ38" s="167" t="str">
        <f>CZ29</f>
        <v xml:space="preserve">  RFA 2026-104</v>
      </c>
      <c r="DA38" s="167" t="str">
        <f>DA29</f>
        <v xml:space="preserve">  RFA 2026-104SF</v>
      </c>
      <c r="DB38" s="167" t="str">
        <f>DB29</f>
        <v xml:space="preserve">  RFA 2026-105</v>
      </c>
      <c r="DC38" s="167" t="str">
        <f t="shared" ref="DC38:DJ38" si="41">DC3</f>
        <v xml:space="preserve">  RFA 2026-106</v>
      </c>
      <c r="DD38" s="167" t="str">
        <f t="shared" si="41"/>
        <v xml:space="preserve">  RFA 2026-106SF</v>
      </c>
      <c r="DE38" s="167" t="str">
        <f>$DE$3</f>
        <v xml:space="preserve">  RFA 2026-108</v>
      </c>
      <c r="DF38" s="167" t="str">
        <f>$DF$3</f>
        <v xml:space="preserve">  RFA 2026-108SF</v>
      </c>
      <c r="DG38" s="167" t="str">
        <f t="shared" si="41"/>
        <v xml:space="preserve">  RFA 2026-201</v>
      </c>
      <c r="DH38" s="167" t="str">
        <f t="shared" si="41"/>
        <v xml:space="preserve">  RFA 2026-202</v>
      </c>
      <c r="DI38" s="167" t="str">
        <f t="shared" si="41"/>
        <v xml:space="preserve">  RFA 2026-202SF</v>
      </c>
      <c r="DJ38" s="167" t="str">
        <f t="shared" si="41"/>
        <v xml:space="preserve">  RFA 2026-203</v>
      </c>
      <c r="DK38" s="167" t="str">
        <f>DK29</f>
        <v xml:space="preserve">  RFA 2026-204</v>
      </c>
      <c r="DL38" s="167" t="str">
        <f>DL29</f>
        <v xml:space="preserve">  RFA 2026-204SF</v>
      </c>
      <c r="DM38" s="167" t="s">
        <v>422</v>
      </c>
      <c r="DN38" s="167" t="s">
        <v>423</v>
      </c>
      <c r="DO38" s="167" t="str">
        <f t="shared" ref="DO38:DV38" si="42">DO3</f>
        <v xml:space="preserve">  RFA 2026-206</v>
      </c>
      <c r="DP38" s="167" t="str">
        <f t="shared" si="42"/>
        <v xml:space="preserve">  RFA 2026-206SF</v>
      </c>
      <c r="DQ38" s="167" t="str">
        <f t="shared" si="42"/>
        <v xml:space="preserve">  RFA 2026-212</v>
      </c>
      <c r="DR38" s="167" t="str">
        <f t="shared" si="42"/>
        <v xml:space="preserve">  RFA 2026-212SF</v>
      </c>
      <c r="DS38" s="167" t="str">
        <f t="shared" si="42"/>
        <v xml:space="preserve">  RFA 2026-216</v>
      </c>
      <c r="DT38" s="167" t="str">
        <f t="shared" si="42"/>
        <v xml:space="preserve">  RFA 2026-216SF</v>
      </c>
      <c r="DU38" s="167" t="str">
        <f t="shared" si="42"/>
        <v xml:space="preserve">  RFA 2026-218</v>
      </c>
      <c r="DV38" s="167" t="str">
        <f t="shared" si="42"/>
        <v xml:space="preserve">  RFA 2026-218SF</v>
      </c>
      <c r="DW38" s="167" t="str">
        <f>$DW$3</f>
        <v xml:space="preserve">  RFA 2027-103</v>
      </c>
      <c r="DX38" s="167" t="str">
        <f>$DX$3</f>
        <v xml:space="preserve">  RFA 2027-103SF</v>
      </c>
      <c r="DY38" s="167" t="str">
        <f>$DY$3</f>
        <v xml:space="preserve">  RFA 2027-106</v>
      </c>
      <c r="DZ38" s="167" t="str">
        <f>$DZ$3</f>
        <v xml:space="preserve">  RFA 2027-106SF</v>
      </c>
      <c r="EC38" s="3"/>
      <c r="ED38" s="3"/>
      <c r="EE38" s="3"/>
      <c r="EF38" s="3"/>
    </row>
    <row r="39" spans="1:141" x14ac:dyDescent="0.25">
      <c r="A39" s="11" t="s">
        <v>40</v>
      </c>
      <c r="B39" t="s">
        <v>2</v>
      </c>
      <c r="C39" s="19"/>
      <c r="D39" s="20"/>
      <c r="E39" s="20"/>
      <c r="F39" s="20"/>
      <c r="G39" s="20"/>
      <c r="H39" s="20"/>
      <c r="I39" s="20"/>
      <c r="J39" s="20" t="s">
        <v>2</v>
      </c>
      <c r="K39" s="58" t="s">
        <v>313</v>
      </c>
      <c r="L39" s="58" t="s">
        <v>171</v>
      </c>
      <c r="M39" s="163" t="s">
        <v>2</v>
      </c>
      <c r="N39" s="164"/>
      <c r="O39" s="335"/>
      <c r="P39" s="14" t="s">
        <v>2</v>
      </c>
      <c r="Q39" s="14" t="s">
        <v>2</v>
      </c>
      <c r="R39" s="14" t="s">
        <v>2</v>
      </c>
      <c r="S39" s="14" t="s">
        <v>2</v>
      </c>
      <c r="T39" s="14" t="s">
        <v>2</v>
      </c>
      <c r="U39" s="14" t="s">
        <v>2</v>
      </c>
      <c r="V39" s="14" t="s">
        <v>2</v>
      </c>
      <c r="W39" s="14" t="s">
        <v>2</v>
      </c>
      <c r="X39" s="14" t="s">
        <v>2</v>
      </c>
      <c r="Y39" s="14" t="s">
        <v>2</v>
      </c>
      <c r="Z39" s="41">
        <v>220000</v>
      </c>
      <c r="AA39" s="41">
        <v>220000</v>
      </c>
      <c r="AB39" s="41">
        <v>240000</v>
      </c>
      <c r="AC39" s="41">
        <v>240000</v>
      </c>
      <c r="AD39" s="41">
        <v>220000</v>
      </c>
      <c r="AE39" s="41">
        <v>240000</v>
      </c>
      <c r="AF39" s="41">
        <v>220000</v>
      </c>
      <c r="AG39" s="41">
        <v>240000</v>
      </c>
      <c r="AH39" s="14" t="s">
        <v>2</v>
      </c>
      <c r="AI39" s="41">
        <v>220000</v>
      </c>
      <c r="AJ39" s="41">
        <v>220000</v>
      </c>
      <c r="AK39" s="41">
        <v>240000</v>
      </c>
      <c r="AL39" s="14" t="s">
        <v>2</v>
      </c>
      <c r="AM39" s="41">
        <v>220000</v>
      </c>
      <c r="AN39" s="41">
        <v>240000</v>
      </c>
      <c r="AO39" s="41">
        <v>220000</v>
      </c>
      <c r="AP39" s="41">
        <v>240000</v>
      </c>
      <c r="AQ39" s="41">
        <v>220000</v>
      </c>
      <c r="AR39" s="41">
        <v>240000</v>
      </c>
      <c r="AS39" s="14" t="s">
        <v>2</v>
      </c>
      <c r="AT39" s="41">
        <v>220000</v>
      </c>
      <c r="AU39" s="41">
        <v>240000</v>
      </c>
      <c r="AV39" s="41">
        <v>233000</v>
      </c>
      <c r="AW39" s="41">
        <v>233000</v>
      </c>
      <c r="AX39" s="41">
        <v>258000</v>
      </c>
      <c r="AY39" s="41">
        <v>258000</v>
      </c>
      <c r="AZ39" s="41">
        <v>233000</v>
      </c>
      <c r="BA39" s="41">
        <v>258000</v>
      </c>
      <c r="BB39" s="41">
        <v>233000</v>
      </c>
      <c r="BC39" s="41">
        <v>258000</v>
      </c>
      <c r="BD39" s="41">
        <v>220000</v>
      </c>
      <c r="BE39" s="41">
        <v>240000</v>
      </c>
      <c r="BF39" s="41">
        <v>233000</v>
      </c>
      <c r="BG39" s="41">
        <v>258000</v>
      </c>
      <c r="BH39" s="41">
        <v>220000</v>
      </c>
      <c r="BI39" s="41">
        <v>240000</v>
      </c>
      <c r="BJ39" s="41">
        <v>233000</v>
      </c>
      <c r="BK39" s="41">
        <v>258000</v>
      </c>
      <c r="BL39" s="41">
        <v>233000</v>
      </c>
      <c r="BM39" s="41">
        <v>258000</v>
      </c>
      <c r="BN39" s="41">
        <v>220000</v>
      </c>
      <c r="BO39" s="41">
        <v>240000</v>
      </c>
      <c r="BP39" s="41">
        <v>233000</v>
      </c>
      <c r="BQ39" s="41">
        <v>258000</v>
      </c>
      <c r="BR39" s="41">
        <v>233000</v>
      </c>
      <c r="BS39" s="41">
        <v>258000</v>
      </c>
      <c r="BT39" s="41">
        <v>233000</v>
      </c>
      <c r="BU39" s="41">
        <v>258000</v>
      </c>
      <c r="BV39" s="41">
        <v>233000</v>
      </c>
      <c r="BW39" s="41">
        <v>258000</v>
      </c>
      <c r="BX39" s="41">
        <v>233000</v>
      </c>
      <c r="BY39" s="41">
        <v>258000</v>
      </c>
      <c r="BZ39" s="41">
        <v>233000</v>
      </c>
      <c r="CA39" s="41">
        <v>258000</v>
      </c>
      <c r="CB39" s="234">
        <v>247000</v>
      </c>
      <c r="CC39" s="234">
        <v>247000</v>
      </c>
      <c r="CD39" s="234">
        <v>275000</v>
      </c>
      <c r="CE39" s="234">
        <v>275000</v>
      </c>
      <c r="CF39" s="234">
        <v>247000</v>
      </c>
      <c r="CG39" s="234">
        <v>275000</v>
      </c>
      <c r="CH39" s="234">
        <v>247000</v>
      </c>
      <c r="CI39" s="234">
        <v>275000</v>
      </c>
      <c r="CJ39" s="41">
        <v>233000</v>
      </c>
      <c r="CK39" s="41">
        <v>258000</v>
      </c>
      <c r="CL39" s="41">
        <v>247000</v>
      </c>
      <c r="CM39" s="41">
        <v>275000</v>
      </c>
      <c r="CN39" s="41">
        <v>247000</v>
      </c>
      <c r="CO39" s="41">
        <v>275000</v>
      </c>
      <c r="CP39" s="41">
        <v>247000</v>
      </c>
      <c r="CQ39" s="41">
        <v>275000</v>
      </c>
      <c r="CR39" s="41">
        <v>247000</v>
      </c>
      <c r="CS39" s="41">
        <v>275000</v>
      </c>
      <c r="CT39" s="41">
        <v>233000</v>
      </c>
      <c r="CU39" s="41">
        <v>258000</v>
      </c>
      <c r="CV39" s="234">
        <v>247000</v>
      </c>
      <c r="CW39" s="234">
        <v>275000</v>
      </c>
      <c r="CX39" s="234">
        <v>247000</v>
      </c>
      <c r="CY39" s="234">
        <v>275000</v>
      </c>
      <c r="CZ39" s="234">
        <v>247000</v>
      </c>
      <c r="DA39" s="234">
        <v>275000</v>
      </c>
      <c r="DB39" s="14" t="s">
        <v>2</v>
      </c>
      <c r="DC39" s="234">
        <v>247000</v>
      </c>
      <c r="DD39" s="234">
        <v>275000</v>
      </c>
      <c r="DE39" s="234">
        <v>256000</v>
      </c>
      <c r="DF39" s="234">
        <v>284000</v>
      </c>
      <c r="DG39" s="234">
        <v>256000</v>
      </c>
      <c r="DH39" s="234">
        <v>256000</v>
      </c>
      <c r="DI39" s="234">
        <v>284000</v>
      </c>
      <c r="DJ39" s="234">
        <v>284000</v>
      </c>
      <c r="DK39" s="234">
        <v>256000</v>
      </c>
      <c r="DL39" s="234">
        <v>284000</v>
      </c>
      <c r="DM39" s="234">
        <v>256000</v>
      </c>
      <c r="DN39" s="234">
        <v>284000</v>
      </c>
      <c r="DO39" s="234">
        <v>247000</v>
      </c>
      <c r="DP39" s="234">
        <v>275000</v>
      </c>
      <c r="DQ39" s="234">
        <v>256000</v>
      </c>
      <c r="DR39" s="234">
        <v>284000</v>
      </c>
      <c r="DS39" s="234">
        <v>256000</v>
      </c>
      <c r="DT39" s="234">
        <v>284000</v>
      </c>
      <c r="DU39" s="14" t="s">
        <v>2</v>
      </c>
      <c r="DV39" s="14" t="s">
        <v>2</v>
      </c>
      <c r="DW39" s="234">
        <v>256000</v>
      </c>
      <c r="DX39" s="234">
        <v>284000</v>
      </c>
      <c r="DY39" s="234">
        <v>256000</v>
      </c>
      <c r="DZ39" s="234">
        <v>284000</v>
      </c>
      <c r="EC39" s="3"/>
      <c r="ED39" s="3"/>
      <c r="EE39" s="3"/>
      <c r="EF39" s="3"/>
    </row>
    <row r="40" spans="1:141" x14ac:dyDescent="0.25">
      <c r="A40" s="11" t="s">
        <v>41</v>
      </c>
      <c r="B40" t="s">
        <v>2</v>
      </c>
      <c r="C40" s="19"/>
      <c r="D40" s="20"/>
      <c r="E40" s="20"/>
      <c r="F40" s="20"/>
      <c r="G40" s="20"/>
      <c r="H40" s="20"/>
      <c r="I40" s="20"/>
      <c r="J40" s="20" t="s">
        <v>2</v>
      </c>
      <c r="K40" s="20" t="s">
        <v>2</v>
      </c>
      <c r="L40" s="58" t="s">
        <v>313</v>
      </c>
      <c r="M40" s="163" t="s">
        <v>2</v>
      </c>
      <c r="O40" s="335"/>
      <c r="P40" s="14" t="s">
        <v>2</v>
      </c>
      <c r="Q40" s="14" t="s">
        <v>2</v>
      </c>
      <c r="R40" s="14" t="s">
        <v>2</v>
      </c>
      <c r="S40" s="14" t="s">
        <v>2</v>
      </c>
      <c r="T40" s="14" t="s">
        <v>2</v>
      </c>
      <c r="U40" s="14" t="s">
        <v>2</v>
      </c>
      <c r="V40" s="14" t="s">
        <v>2</v>
      </c>
      <c r="W40" s="14" t="s">
        <v>2</v>
      </c>
      <c r="X40" s="14" t="s">
        <v>2</v>
      </c>
      <c r="Y40" s="14" t="s">
        <v>2</v>
      </c>
      <c r="Z40" s="41">
        <v>240000</v>
      </c>
      <c r="AA40" s="41">
        <v>240000</v>
      </c>
      <c r="AB40" s="41">
        <v>260000</v>
      </c>
      <c r="AC40" s="41">
        <v>260000</v>
      </c>
      <c r="AD40" s="41">
        <v>240000</v>
      </c>
      <c r="AE40" s="41">
        <v>260000</v>
      </c>
      <c r="AF40" s="41">
        <v>240000</v>
      </c>
      <c r="AG40" s="41">
        <v>260000</v>
      </c>
      <c r="AH40" s="14" t="s">
        <v>2</v>
      </c>
      <c r="AI40" s="41">
        <v>240000</v>
      </c>
      <c r="AJ40" s="41">
        <v>240000</v>
      </c>
      <c r="AK40" s="41">
        <v>260000</v>
      </c>
      <c r="AL40" s="14" t="s">
        <v>2</v>
      </c>
      <c r="AM40" s="41">
        <v>240000</v>
      </c>
      <c r="AN40" s="41">
        <v>260000</v>
      </c>
      <c r="AO40" s="41">
        <v>240000</v>
      </c>
      <c r="AP40" s="41">
        <v>260000</v>
      </c>
      <c r="AQ40" s="41">
        <v>240000</v>
      </c>
      <c r="AR40" s="41">
        <v>260000</v>
      </c>
      <c r="AS40" s="14" t="s">
        <v>2</v>
      </c>
      <c r="AT40" s="41">
        <v>240000</v>
      </c>
      <c r="AU40" s="41">
        <v>260000</v>
      </c>
      <c r="AV40" s="41">
        <v>258000</v>
      </c>
      <c r="AW40" s="41">
        <v>258000</v>
      </c>
      <c r="AX40" s="41">
        <v>283000</v>
      </c>
      <c r="AY40" s="41">
        <v>283000</v>
      </c>
      <c r="AZ40" s="41">
        <v>258000</v>
      </c>
      <c r="BA40" s="41">
        <v>283000</v>
      </c>
      <c r="BB40" s="41">
        <v>258000</v>
      </c>
      <c r="BC40" s="41">
        <v>283000</v>
      </c>
      <c r="BD40" s="41">
        <v>240000</v>
      </c>
      <c r="BE40" s="41">
        <v>260000</v>
      </c>
      <c r="BF40" s="41">
        <v>258000</v>
      </c>
      <c r="BG40" s="41">
        <v>283000</v>
      </c>
      <c r="BH40" s="41">
        <v>240000</v>
      </c>
      <c r="BI40" s="41">
        <v>260000</v>
      </c>
      <c r="BJ40" s="41">
        <v>258000</v>
      </c>
      <c r="BK40" s="41">
        <v>283000</v>
      </c>
      <c r="BL40" s="41">
        <v>258000</v>
      </c>
      <c r="BM40" s="41">
        <v>283000</v>
      </c>
      <c r="BN40" s="41">
        <v>240000</v>
      </c>
      <c r="BO40" s="41">
        <v>260000</v>
      </c>
      <c r="BP40" s="41">
        <v>258000</v>
      </c>
      <c r="BQ40" s="41">
        <v>283000</v>
      </c>
      <c r="BR40" s="41">
        <v>258000</v>
      </c>
      <c r="BS40" s="41">
        <v>283000</v>
      </c>
      <c r="BT40" s="41">
        <v>258000</v>
      </c>
      <c r="BU40" s="41">
        <v>283000</v>
      </c>
      <c r="BV40" s="41">
        <v>258000</v>
      </c>
      <c r="BW40" s="41">
        <v>283000</v>
      </c>
      <c r="BX40" s="41">
        <v>258000</v>
      </c>
      <c r="BY40" s="41">
        <v>283000</v>
      </c>
      <c r="BZ40" s="41">
        <v>258000</v>
      </c>
      <c r="CA40" s="41">
        <v>283000</v>
      </c>
      <c r="CB40" s="234">
        <v>275000</v>
      </c>
      <c r="CC40" s="234">
        <v>275000</v>
      </c>
      <c r="CD40" s="234">
        <v>300000</v>
      </c>
      <c r="CE40" s="234">
        <v>300000</v>
      </c>
      <c r="CF40" s="234">
        <v>275000</v>
      </c>
      <c r="CG40" s="234">
        <v>300000</v>
      </c>
      <c r="CH40" s="234">
        <v>275000</v>
      </c>
      <c r="CI40" s="234">
        <v>300000</v>
      </c>
      <c r="CJ40" s="41">
        <v>258000</v>
      </c>
      <c r="CK40" s="41">
        <v>283000</v>
      </c>
      <c r="CL40" s="41">
        <v>275000</v>
      </c>
      <c r="CM40" s="41">
        <v>300000</v>
      </c>
      <c r="CN40" s="41">
        <v>275000</v>
      </c>
      <c r="CO40" s="41">
        <v>300000</v>
      </c>
      <c r="CP40" s="41">
        <v>275000</v>
      </c>
      <c r="CQ40" s="41">
        <v>300000</v>
      </c>
      <c r="CR40" s="41">
        <v>275000</v>
      </c>
      <c r="CS40" s="41">
        <v>300000</v>
      </c>
      <c r="CT40" s="41">
        <v>258000</v>
      </c>
      <c r="CU40" s="41">
        <v>283000</v>
      </c>
      <c r="CV40" s="234">
        <v>275000</v>
      </c>
      <c r="CW40" s="234">
        <v>300000</v>
      </c>
      <c r="CX40" s="234">
        <v>275000</v>
      </c>
      <c r="CY40" s="234">
        <v>300000</v>
      </c>
      <c r="CZ40" s="234">
        <v>275000</v>
      </c>
      <c r="DA40" s="234">
        <v>300000</v>
      </c>
      <c r="DB40" s="14" t="s">
        <v>2</v>
      </c>
      <c r="DC40" s="234">
        <v>275000</v>
      </c>
      <c r="DD40" s="234">
        <v>300000</v>
      </c>
      <c r="DE40" s="234">
        <v>284000</v>
      </c>
      <c r="DF40" s="234">
        <v>312000</v>
      </c>
      <c r="DG40" s="234">
        <v>284000</v>
      </c>
      <c r="DH40" s="234">
        <v>284000</v>
      </c>
      <c r="DI40" s="234">
        <v>312000</v>
      </c>
      <c r="DJ40" s="234">
        <v>312000</v>
      </c>
      <c r="DK40" s="234">
        <v>284000</v>
      </c>
      <c r="DL40" s="234">
        <v>312000</v>
      </c>
      <c r="DM40" s="234">
        <v>284000</v>
      </c>
      <c r="DN40" s="234">
        <v>312000</v>
      </c>
      <c r="DO40" s="234">
        <v>275000</v>
      </c>
      <c r="DP40" s="234">
        <v>300000</v>
      </c>
      <c r="DQ40" s="234">
        <v>284000</v>
      </c>
      <c r="DR40" s="234">
        <v>312000</v>
      </c>
      <c r="DS40" s="234">
        <v>284000</v>
      </c>
      <c r="DT40" s="234">
        <v>312000</v>
      </c>
      <c r="DU40" s="14" t="s">
        <v>2</v>
      </c>
      <c r="DV40" s="14" t="s">
        <v>2</v>
      </c>
      <c r="DW40" s="234">
        <v>284000</v>
      </c>
      <c r="DX40" s="234">
        <v>312000</v>
      </c>
      <c r="DY40" s="234">
        <v>284000</v>
      </c>
      <c r="DZ40" s="234">
        <v>312000</v>
      </c>
      <c r="EA40" t="s">
        <v>2</v>
      </c>
    </row>
    <row r="41" spans="1:141" x14ac:dyDescent="0.25">
      <c r="A41" s="11" t="s">
        <v>42</v>
      </c>
      <c r="B41" t="s">
        <v>2</v>
      </c>
      <c r="C41" s="21"/>
      <c r="D41" s="22"/>
      <c r="E41" s="22"/>
      <c r="F41" s="22"/>
      <c r="G41" s="22"/>
      <c r="H41" s="22"/>
      <c r="I41" s="22"/>
      <c r="J41" s="22" t="s">
        <v>2</v>
      </c>
      <c r="K41" s="22" t="s">
        <v>2</v>
      </c>
      <c r="L41" s="22" t="s">
        <v>2</v>
      </c>
      <c r="M41" s="23" t="s">
        <v>2</v>
      </c>
      <c r="O41" s="335"/>
      <c r="P41" s="14" t="s">
        <v>2</v>
      </c>
      <c r="Q41" s="14" t="s">
        <v>2</v>
      </c>
      <c r="R41" s="14" t="s">
        <v>2</v>
      </c>
      <c r="S41" s="14" t="s">
        <v>2</v>
      </c>
      <c r="T41" s="14" t="s">
        <v>2</v>
      </c>
      <c r="U41" s="14" t="s">
        <v>2</v>
      </c>
      <c r="V41" s="14" t="s">
        <v>2</v>
      </c>
      <c r="W41" s="14" t="s">
        <v>2</v>
      </c>
      <c r="X41" s="14" t="s">
        <v>2</v>
      </c>
      <c r="Y41" s="14" t="s">
        <v>2</v>
      </c>
      <c r="Z41" s="41">
        <v>240000</v>
      </c>
      <c r="AA41" s="41">
        <v>240000</v>
      </c>
      <c r="AB41" s="41">
        <v>260000</v>
      </c>
      <c r="AC41" s="41">
        <v>260000</v>
      </c>
      <c r="AD41" s="41">
        <v>240000</v>
      </c>
      <c r="AE41" s="41">
        <v>260000</v>
      </c>
      <c r="AF41" s="41">
        <v>240000</v>
      </c>
      <c r="AG41" s="41">
        <v>260000</v>
      </c>
      <c r="AH41" s="14" t="s">
        <v>2</v>
      </c>
      <c r="AI41" s="41">
        <v>240000</v>
      </c>
      <c r="AJ41" s="41">
        <v>240000</v>
      </c>
      <c r="AK41" s="41">
        <v>260000</v>
      </c>
      <c r="AL41" s="14" t="s">
        <v>2</v>
      </c>
      <c r="AM41" s="41">
        <v>240000</v>
      </c>
      <c r="AN41" s="41">
        <v>260000</v>
      </c>
      <c r="AO41" s="41">
        <v>240000</v>
      </c>
      <c r="AP41" s="41">
        <v>260000</v>
      </c>
      <c r="AQ41" s="41">
        <v>240000</v>
      </c>
      <c r="AR41" s="41">
        <v>260000</v>
      </c>
      <c r="AS41" s="14" t="s">
        <v>2</v>
      </c>
      <c r="AT41" s="41">
        <v>240000</v>
      </c>
      <c r="AU41" s="41">
        <v>260000</v>
      </c>
      <c r="AV41" s="41">
        <v>258000</v>
      </c>
      <c r="AW41" s="41">
        <v>258000</v>
      </c>
      <c r="AX41" s="41">
        <v>283000</v>
      </c>
      <c r="AY41" s="41">
        <v>283000</v>
      </c>
      <c r="AZ41" s="41">
        <v>258000</v>
      </c>
      <c r="BA41" s="41">
        <v>283000</v>
      </c>
      <c r="BB41" s="41">
        <v>258000</v>
      </c>
      <c r="BC41" s="41">
        <v>283000</v>
      </c>
      <c r="BD41" s="41">
        <v>240000</v>
      </c>
      <c r="BE41" s="41">
        <v>260000</v>
      </c>
      <c r="BF41" s="41">
        <v>258000</v>
      </c>
      <c r="BG41" s="41">
        <v>283000</v>
      </c>
      <c r="BH41" s="41">
        <v>240000</v>
      </c>
      <c r="BI41" s="41">
        <v>260000</v>
      </c>
      <c r="BJ41" s="41">
        <v>258000</v>
      </c>
      <c r="BK41" s="41">
        <v>283000</v>
      </c>
      <c r="BL41" s="41">
        <v>258000</v>
      </c>
      <c r="BM41" s="41">
        <v>283000</v>
      </c>
      <c r="BN41" s="41">
        <v>240000</v>
      </c>
      <c r="BO41" s="41">
        <v>260000</v>
      </c>
      <c r="BP41" s="41">
        <v>258000</v>
      </c>
      <c r="BQ41" s="41">
        <v>283000</v>
      </c>
      <c r="BR41" s="41">
        <v>258000</v>
      </c>
      <c r="BS41" s="41">
        <v>283000</v>
      </c>
      <c r="BT41" s="41">
        <v>258000</v>
      </c>
      <c r="BU41" s="41">
        <v>283000</v>
      </c>
      <c r="BV41" s="41">
        <v>258000</v>
      </c>
      <c r="BW41" s="41">
        <v>283000</v>
      </c>
      <c r="BX41" s="41">
        <v>258000</v>
      </c>
      <c r="BY41" s="41">
        <v>283000</v>
      </c>
      <c r="BZ41" s="41">
        <v>258000</v>
      </c>
      <c r="CA41" s="41">
        <v>283000</v>
      </c>
      <c r="CB41" s="234">
        <v>275000</v>
      </c>
      <c r="CC41" s="234">
        <v>275000</v>
      </c>
      <c r="CD41" s="234">
        <v>300000</v>
      </c>
      <c r="CE41" s="234">
        <v>300000</v>
      </c>
      <c r="CF41" s="234">
        <v>275000</v>
      </c>
      <c r="CG41" s="234">
        <v>300000</v>
      </c>
      <c r="CH41" s="234">
        <v>275000</v>
      </c>
      <c r="CI41" s="234">
        <v>300000</v>
      </c>
      <c r="CJ41" s="14" t="s">
        <v>2</v>
      </c>
      <c r="CK41" s="14" t="s">
        <v>2</v>
      </c>
      <c r="CL41" s="41">
        <v>275000</v>
      </c>
      <c r="CM41" s="41">
        <v>300000</v>
      </c>
      <c r="CN41" s="41">
        <v>275000</v>
      </c>
      <c r="CO41" s="41">
        <v>300000</v>
      </c>
      <c r="CP41" s="41">
        <v>275000</v>
      </c>
      <c r="CQ41" s="41">
        <v>300000</v>
      </c>
      <c r="CR41" s="41">
        <v>275000</v>
      </c>
      <c r="CS41" s="41">
        <v>300000</v>
      </c>
      <c r="CT41" s="41">
        <v>258000</v>
      </c>
      <c r="CU41" s="41">
        <v>283000</v>
      </c>
      <c r="CV41" s="234">
        <v>275000</v>
      </c>
      <c r="CW41" s="234">
        <v>300000</v>
      </c>
      <c r="CX41" s="234">
        <v>275000</v>
      </c>
      <c r="CY41" s="234">
        <v>300000</v>
      </c>
      <c r="CZ41" s="234">
        <v>275000</v>
      </c>
      <c r="DA41" s="234">
        <v>300000</v>
      </c>
      <c r="DB41" s="14" t="s">
        <v>2</v>
      </c>
      <c r="DC41" s="234">
        <v>275000</v>
      </c>
      <c r="DD41" s="234">
        <v>300000</v>
      </c>
      <c r="DE41" s="234">
        <v>284000</v>
      </c>
      <c r="DF41" s="234">
        <v>312000</v>
      </c>
      <c r="DG41" s="234">
        <v>284000</v>
      </c>
      <c r="DH41" s="234">
        <v>284000</v>
      </c>
      <c r="DI41" s="234">
        <v>312000</v>
      </c>
      <c r="DJ41" s="234">
        <v>312000</v>
      </c>
      <c r="DK41" s="234">
        <v>284000</v>
      </c>
      <c r="DL41" s="234">
        <v>312000</v>
      </c>
      <c r="DM41" s="234">
        <v>284000</v>
      </c>
      <c r="DN41" s="234">
        <v>312000</v>
      </c>
      <c r="DO41" s="14" t="s">
        <v>2</v>
      </c>
      <c r="DP41" s="14" t="s">
        <v>2</v>
      </c>
      <c r="DQ41" s="234">
        <v>284000</v>
      </c>
      <c r="DR41" s="234">
        <v>312000</v>
      </c>
      <c r="DS41" s="234">
        <v>284000</v>
      </c>
      <c r="DT41" s="234">
        <v>312000</v>
      </c>
      <c r="DU41" s="14" t="s">
        <v>2</v>
      </c>
      <c r="DV41" s="14" t="s">
        <v>2</v>
      </c>
      <c r="DW41" s="234">
        <v>284000</v>
      </c>
      <c r="DX41" s="234">
        <v>312000</v>
      </c>
      <c r="DY41" s="234">
        <v>284000</v>
      </c>
      <c r="DZ41" s="234">
        <v>312000</v>
      </c>
      <c r="EA41" t="s">
        <v>2</v>
      </c>
    </row>
    <row r="42" spans="1:141" x14ac:dyDescent="0.25">
      <c r="A42" s="11" t="s">
        <v>43</v>
      </c>
      <c r="B42" t="s">
        <v>2</v>
      </c>
      <c r="O42" s="335"/>
      <c r="P42" s="14" t="s">
        <v>2</v>
      </c>
      <c r="Q42" s="14" t="s">
        <v>2</v>
      </c>
      <c r="R42" s="14" t="s">
        <v>2</v>
      </c>
      <c r="S42" s="14" t="s">
        <v>2</v>
      </c>
      <c r="T42" s="14" t="s">
        <v>2</v>
      </c>
      <c r="U42" s="14" t="s">
        <v>2</v>
      </c>
      <c r="V42" s="14" t="s">
        <v>2</v>
      </c>
      <c r="W42" s="14" t="s">
        <v>2</v>
      </c>
      <c r="X42" s="14" t="s">
        <v>2</v>
      </c>
      <c r="Y42" s="14" t="s">
        <v>2</v>
      </c>
      <c r="Z42" s="41">
        <v>270000</v>
      </c>
      <c r="AA42" s="41">
        <v>270000</v>
      </c>
      <c r="AB42" s="41">
        <v>290000</v>
      </c>
      <c r="AC42" s="41">
        <v>290000</v>
      </c>
      <c r="AD42" s="41">
        <v>270000</v>
      </c>
      <c r="AE42" s="41">
        <v>290000</v>
      </c>
      <c r="AF42" s="41">
        <v>270000</v>
      </c>
      <c r="AG42" s="41">
        <v>290000</v>
      </c>
      <c r="AH42" s="14" t="s">
        <v>2</v>
      </c>
      <c r="AI42" s="41">
        <v>270000</v>
      </c>
      <c r="AJ42" s="41">
        <v>270000</v>
      </c>
      <c r="AK42" s="41">
        <v>290000</v>
      </c>
      <c r="AL42" s="14" t="s">
        <v>2</v>
      </c>
      <c r="AM42" s="41">
        <v>270000</v>
      </c>
      <c r="AN42" s="41">
        <v>290000</v>
      </c>
      <c r="AO42" s="41">
        <v>270000</v>
      </c>
      <c r="AP42" s="41">
        <v>290000</v>
      </c>
      <c r="AQ42" s="41">
        <v>270000</v>
      </c>
      <c r="AR42" s="41">
        <v>290000</v>
      </c>
      <c r="AS42" s="14" t="s">
        <v>2</v>
      </c>
      <c r="AT42" s="41">
        <v>270000</v>
      </c>
      <c r="AU42" s="41">
        <v>290000</v>
      </c>
      <c r="AV42" s="41">
        <v>285000</v>
      </c>
      <c r="AW42" s="41">
        <v>285000</v>
      </c>
      <c r="AX42" s="41">
        <v>310000</v>
      </c>
      <c r="AY42" s="41">
        <v>310000</v>
      </c>
      <c r="AZ42" s="41">
        <v>285000</v>
      </c>
      <c r="BA42" s="41">
        <v>310000</v>
      </c>
      <c r="BB42" s="41">
        <v>285000</v>
      </c>
      <c r="BC42" s="41">
        <v>310000</v>
      </c>
      <c r="BD42" s="41">
        <v>270000</v>
      </c>
      <c r="BE42" s="41">
        <v>290000</v>
      </c>
      <c r="BF42" s="41">
        <v>285000</v>
      </c>
      <c r="BG42" s="41">
        <v>310000</v>
      </c>
      <c r="BH42" s="41">
        <v>270000</v>
      </c>
      <c r="BI42" s="41">
        <v>290000</v>
      </c>
      <c r="BJ42" s="41">
        <v>285000</v>
      </c>
      <c r="BK42" s="41">
        <v>310000</v>
      </c>
      <c r="BL42" s="41">
        <v>285000</v>
      </c>
      <c r="BM42" s="41">
        <v>310000</v>
      </c>
      <c r="BN42" s="41">
        <v>270000</v>
      </c>
      <c r="BO42" s="41">
        <v>290000</v>
      </c>
      <c r="BP42" s="41">
        <v>285000</v>
      </c>
      <c r="BQ42" s="41">
        <v>310000</v>
      </c>
      <c r="BR42" s="41">
        <v>285000</v>
      </c>
      <c r="BS42" s="41">
        <v>310000</v>
      </c>
      <c r="BT42" s="41">
        <v>285000</v>
      </c>
      <c r="BU42" s="41">
        <v>310000</v>
      </c>
      <c r="BV42" s="41">
        <v>285000</v>
      </c>
      <c r="BW42" s="41">
        <v>310000</v>
      </c>
      <c r="BX42" s="41">
        <v>285000</v>
      </c>
      <c r="BY42" s="41">
        <v>310000</v>
      </c>
      <c r="BZ42" s="41">
        <v>285000</v>
      </c>
      <c r="CA42" s="41">
        <v>310000</v>
      </c>
      <c r="CB42" s="234">
        <v>302000</v>
      </c>
      <c r="CC42" s="234">
        <v>302000</v>
      </c>
      <c r="CD42" s="234">
        <v>330000</v>
      </c>
      <c r="CE42" s="234">
        <v>330000</v>
      </c>
      <c r="CF42" s="234">
        <v>302000</v>
      </c>
      <c r="CG42" s="234">
        <v>330000</v>
      </c>
      <c r="CH42" s="234">
        <v>302000</v>
      </c>
      <c r="CI42" s="234">
        <v>330000</v>
      </c>
      <c r="CJ42" s="14" t="s">
        <v>2</v>
      </c>
      <c r="CK42" s="14" t="s">
        <v>2</v>
      </c>
      <c r="CL42" s="41">
        <v>302000</v>
      </c>
      <c r="CM42" s="41">
        <v>330000</v>
      </c>
      <c r="CN42" s="41">
        <v>302000</v>
      </c>
      <c r="CO42" s="41">
        <v>330000</v>
      </c>
      <c r="CP42" s="41">
        <v>302000</v>
      </c>
      <c r="CQ42" s="41">
        <v>330000</v>
      </c>
      <c r="CR42" s="41">
        <v>302000</v>
      </c>
      <c r="CS42" s="41">
        <v>330000</v>
      </c>
      <c r="CT42" s="41">
        <v>285000</v>
      </c>
      <c r="CU42" s="41">
        <v>310000</v>
      </c>
      <c r="CV42" s="234">
        <v>302000</v>
      </c>
      <c r="CW42" s="234">
        <v>330000</v>
      </c>
      <c r="CX42" s="234">
        <v>302000</v>
      </c>
      <c r="CY42" s="234">
        <v>330000</v>
      </c>
      <c r="CZ42" s="234">
        <v>302000</v>
      </c>
      <c r="DA42" s="234">
        <v>330000</v>
      </c>
      <c r="DB42" s="14" t="s">
        <v>2</v>
      </c>
      <c r="DC42" s="234">
        <v>302000</v>
      </c>
      <c r="DD42" s="234">
        <v>330000</v>
      </c>
      <c r="DE42" s="234">
        <v>311000</v>
      </c>
      <c r="DF42" s="234">
        <v>339000</v>
      </c>
      <c r="DG42" s="234">
        <v>311000</v>
      </c>
      <c r="DH42" s="234">
        <v>311000</v>
      </c>
      <c r="DI42" s="234">
        <v>339000</v>
      </c>
      <c r="DJ42" s="234">
        <v>339000</v>
      </c>
      <c r="DK42" s="234">
        <v>311000</v>
      </c>
      <c r="DL42" s="234">
        <v>339000</v>
      </c>
      <c r="DM42" s="234">
        <v>311000</v>
      </c>
      <c r="DN42" s="234">
        <v>339000</v>
      </c>
      <c r="DO42" s="14" t="s">
        <v>2</v>
      </c>
      <c r="DP42" s="14" t="s">
        <v>2</v>
      </c>
      <c r="DQ42" s="234">
        <v>311000</v>
      </c>
      <c r="DR42" s="234">
        <v>339000</v>
      </c>
      <c r="DS42" s="234">
        <v>311000</v>
      </c>
      <c r="DT42" s="234">
        <v>339000</v>
      </c>
      <c r="DU42" s="14" t="s">
        <v>2</v>
      </c>
      <c r="DV42" s="14" t="s">
        <v>2</v>
      </c>
      <c r="DW42" s="234">
        <v>311000</v>
      </c>
      <c r="DX42" s="234">
        <v>339000</v>
      </c>
      <c r="DY42" s="234">
        <v>311000</v>
      </c>
      <c r="DZ42" s="234">
        <v>339000</v>
      </c>
      <c r="EA42" t="s">
        <v>2</v>
      </c>
    </row>
    <row r="43" spans="1:141" x14ac:dyDescent="0.25">
      <c r="A43" s="11" t="s">
        <v>44</v>
      </c>
      <c r="B43" t="s">
        <v>2</v>
      </c>
      <c r="C43" s="331" t="s">
        <v>99</v>
      </c>
      <c r="D43" s="332"/>
      <c r="E43" s="332"/>
      <c r="F43" s="332"/>
      <c r="G43" s="332"/>
      <c r="H43" s="332"/>
      <c r="I43" s="332"/>
      <c r="J43" s="332"/>
      <c r="K43" s="332"/>
      <c r="L43" s="332"/>
      <c r="M43" s="333"/>
      <c r="O43" s="335"/>
      <c r="P43" s="14" t="s">
        <v>2</v>
      </c>
      <c r="Q43" s="14" t="s">
        <v>2</v>
      </c>
      <c r="R43" s="14" t="s">
        <v>2</v>
      </c>
      <c r="S43" s="14" t="s">
        <v>2</v>
      </c>
      <c r="T43" s="14" t="s">
        <v>2</v>
      </c>
      <c r="U43" s="14" t="s">
        <v>2</v>
      </c>
      <c r="V43" s="14" t="s">
        <v>2</v>
      </c>
      <c r="W43" s="14" t="s">
        <v>2</v>
      </c>
      <c r="X43" s="14" t="s">
        <v>2</v>
      </c>
      <c r="Y43" s="14" t="s">
        <v>2</v>
      </c>
      <c r="Z43" s="41">
        <v>290000</v>
      </c>
      <c r="AA43" s="41">
        <v>290000</v>
      </c>
      <c r="AB43" s="41">
        <v>310000</v>
      </c>
      <c r="AC43" s="41">
        <v>310000</v>
      </c>
      <c r="AD43" s="41">
        <v>290000</v>
      </c>
      <c r="AE43" s="41">
        <v>310000</v>
      </c>
      <c r="AF43" s="41">
        <v>290000</v>
      </c>
      <c r="AG43" s="41">
        <v>310000</v>
      </c>
      <c r="AH43" s="14" t="s">
        <v>2</v>
      </c>
      <c r="AI43" s="41">
        <v>290000</v>
      </c>
      <c r="AJ43" s="41">
        <v>290000</v>
      </c>
      <c r="AK43" s="41">
        <v>310000</v>
      </c>
      <c r="AL43" s="14" t="s">
        <v>2</v>
      </c>
      <c r="AM43" s="41">
        <v>290000</v>
      </c>
      <c r="AN43" s="41">
        <v>310000</v>
      </c>
      <c r="AO43" s="41">
        <v>290000</v>
      </c>
      <c r="AP43" s="41">
        <v>310000</v>
      </c>
      <c r="AQ43" s="41">
        <v>290000</v>
      </c>
      <c r="AR43" s="41">
        <v>310000</v>
      </c>
      <c r="AS43" s="14" t="s">
        <v>2</v>
      </c>
      <c r="AT43" s="41">
        <v>290000</v>
      </c>
      <c r="AU43" s="41">
        <v>310000</v>
      </c>
      <c r="AV43" s="41">
        <v>310000</v>
      </c>
      <c r="AW43" s="41">
        <v>310000</v>
      </c>
      <c r="AX43" s="41">
        <v>335000</v>
      </c>
      <c r="AY43" s="41">
        <v>335000</v>
      </c>
      <c r="AZ43" s="41">
        <v>310000</v>
      </c>
      <c r="BA43" s="41">
        <v>335000</v>
      </c>
      <c r="BB43" s="41">
        <v>310000</v>
      </c>
      <c r="BC43" s="41">
        <v>335000</v>
      </c>
      <c r="BD43" s="41">
        <v>290000</v>
      </c>
      <c r="BE43" s="41">
        <v>310000</v>
      </c>
      <c r="BF43" s="41">
        <v>310000</v>
      </c>
      <c r="BG43" s="41">
        <v>335000</v>
      </c>
      <c r="BH43" s="41">
        <v>290000</v>
      </c>
      <c r="BI43" s="41">
        <v>310000</v>
      </c>
      <c r="BJ43" s="41">
        <v>310000</v>
      </c>
      <c r="BK43" s="41">
        <v>335000</v>
      </c>
      <c r="BL43" s="41">
        <v>310000</v>
      </c>
      <c r="BM43" s="41">
        <v>335000</v>
      </c>
      <c r="BN43" s="41">
        <v>290000</v>
      </c>
      <c r="BO43" s="41">
        <v>310000</v>
      </c>
      <c r="BP43" s="41">
        <v>310000</v>
      </c>
      <c r="BQ43" s="41">
        <v>335000</v>
      </c>
      <c r="BR43" s="41">
        <v>310000</v>
      </c>
      <c r="BS43" s="41">
        <v>335000</v>
      </c>
      <c r="BT43" s="41">
        <v>310000</v>
      </c>
      <c r="BU43" s="41">
        <v>335000</v>
      </c>
      <c r="BV43" s="41">
        <v>310000</v>
      </c>
      <c r="BW43" s="41">
        <v>335000</v>
      </c>
      <c r="BX43" s="41">
        <v>310000</v>
      </c>
      <c r="BY43" s="41">
        <v>335000</v>
      </c>
      <c r="BZ43" s="41">
        <v>310000</v>
      </c>
      <c r="CA43" s="41">
        <v>335000</v>
      </c>
      <c r="CB43" s="234">
        <v>330000</v>
      </c>
      <c r="CC43" s="234">
        <v>330000</v>
      </c>
      <c r="CD43" s="234">
        <v>355000</v>
      </c>
      <c r="CE43" s="234">
        <v>355000</v>
      </c>
      <c r="CF43" s="234">
        <v>330000</v>
      </c>
      <c r="CG43" s="234">
        <v>355000</v>
      </c>
      <c r="CH43" s="234">
        <v>330000</v>
      </c>
      <c r="CI43" s="234">
        <v>355000</v>
      </c>
      <c r="CJ43" s="14" t="s">
        <v>2</v>
      </c>
      <c r="CK43" s="14" t="s">
        <v>2</v>
      </c>
      <c r="CL43" s="41">
        <v>330000</v>
      </c>
      <c r="CM43" s="41">
        <v>355000</v>
      </c>
      <c r="CN43" s="41">
        <v>330000</v>
      </c>
      <c r="CO43" s="41">
        <v>355000</v>
      </c>
      <c r="CP43" s="41">
        <v>330000</v>
      </c>
      <c r="CQ43" s="41">
        <v>355000</v>
      </c>
      <c r="CR43" s="41">
        <v>330000</v>
      </c>
      <c r="CS43" s="41">
        <v>355000</v>
      </c>
      <c r="CT43" s="41">
        <v>310000</v>
      </c>
      <c r="CU43" s="41">
        <v>335000</v>
      </c>
      <c r="CV43" s="14" t="s">
        <v>2</v>
      </c>
      <c r="CW43" s="14" t="s">
        <v>2</v>
      </c>
      <c r="CX43" s="234">
        <v>330000</v>
      </c>
      <c r="CY43" s="234">
        <v>355000</v>
      </c>
      <c r="CZ43" s="234">
        <v>330000</v>
      </c>
      <c r="DA43" s="234">
        <v>355000</v>
      </c>
      <c r="DB43" s="14" t="s">
        <v>2</v>
      </c>
      <c r="DC43" s="234">
        <v>330000</v>
      </c>
      <c r="DD43" s="234">
        <v>355000</v>
      </c>
      <c r="DE43" s="14" t="s">
        <v>2</v>
      </c>
      <c r="DF43" s="14" t="s">
        <v>2</v>
      </c>
      <c r="DG43" s="234">
        <v>338000</v>
      </c>
      <c r="DH43" s="234">
        <v>338000</v>
      </c>
      <c r="DI43" s="234">
        <v>366000</v>
      </c>
      <c r="DJ43" s="234">
        <v>366000</v>
      </c>
      <c r="DK43" s="234">
        <v>338000</v>
      </c>
      <c r="DL43" s="234">
        <v>366000</v>
      </c>
      <c r="DM43" s="234">
        <v>338000</v>
      </c>
      <c r="DN43" s="234">
        <v>366000</v>
      </c>
      <c r="DO43" s="14" t="s">
        <v>2</v>
      </c>
      <c r="DP43" s="14" t="s">
        <v>2</v>
      </c>
      <c r="DQ43" s="234">
        <v>338000</v>
      </c>
      <c r="DR43" s="234">
        <v>366000</v>
      </c>
      <c r="DS43" s="234">
        <v>338000</v>
      </c>
      <c r="DT43" s="234">
        <v>366000</v>
      </c>
      <c r="DU43" s="14" t="s">
        <v>2</v>
      </c>
      <c r="DV43" s="14" t="s">
        <v>2</v>
      </c>
      <c r="DW43" s="234">
        <v>338000</v>
      </c>
      <c r="DX43" s="234">
        <v>366000</v>
      </c>
      <c r="DY43" s="234">
        <v>338000</v>
      </c>
      <c r="DZ43" s="234">
        <v>366000</v>
      </c>
      <c r="EA43" t="s">
        <v>2</v>
      </c>
    </row>
    <row r="44" spans="1:141" x14ac:dyDescent="0.25">
      <c r="A44" s="11" t="s">
        <v>45</v>
      </c>
      <c r="B44" t="s">
        <v>2</v>
      </c>
      <c r="C44" s="49" t="s">
        <v>2</v>
      </c>
      <c r="D44" s="16" t="s">
        <v>2</v>
      </c>
      <c r="E44" s="16" t="s">
        <v>2</v>
      </c>
      <c r="F44" s="16" t="s">
        <v>2</v>
      </c>
      <c r="G44" s="16" t="s">
        <v>2</v>
      </c>
      <c r="H44" s="16" t="s">
        <v>2</v>
      </c>
      <c r="I44" s="243">
        <v>46406</v>
      </c>
      <c r="J44" s="57">
        <v>46084</v>
      </c>
      <c r="K44" s="57">
        <v>45617</v>
      </c>
      <c r="L44" s="57">
        <v>45372</v>
      </c>
      <c r="M44" s="222">
        <v>45006</v>
      </c>
      <c r="N44" s="164"/>
      <c r="O44" s="335"/>
      <c r="P44" s="14"/>
      <c r="Q44" s="14"/>
      <c r="R44" s="14"/>
      <c r="S44" s="14"/>
      <c r="T44" s="14"/>
      <c r="U44" s="14"/>
      <c r="V44" s="14"/>
      <c r="W44" s="14"/>
      <c r="X44" s="14"/>
      <c r="Y44" s="14"/>
      <c r="Z44" s="41">
        <v>100000</v>
      </c>
      <c r="AA44" s="41">
        <v>100000</v>
      </c>
      <c r="AB44" s="41">
        <v>110000</v>
      </c>
      <c r="AC44" s="41">
        <v>110000</v>
      </c>
      <c r="AD44" s="41">
        <v>100000</v>
      </c>
      <c r="AE44" s="41">
        <v>110000</v>
      </c>
      <c r="AF44" s="41">
        <v>100000</v>
      </c>
      <c r="AG44" s="41">
        <v>110000</v>
      </c>
      <c r="AH44" s="14" t="s">
        <v>2</v>
      </c>
      <c r="AI44" s="41">
        <v>100000</v>
      </c>
      <c r="AJ44" s="14" t="s">
        <v>2</v>
      </c>
      <c r="AK44" s="14" t="s">
        <v>2</v>
      </c>
      <c r="AL44" s="14" t="s">
        <v>2</v>
      </c>
      <c r="AM44" s="41">
        <v>100000</v>
      </c>
      <c r="AN44" s="41">
        <v>110000</v>
      </c>
      <c r="AO44" s="41">
        <v>100000</v>
      </c>
      <c r="AP44" s="41">
        <v>110000</v>
      </c>
      <c r="AQ44" s="41">
        <v>100000</v>
      </c>
      <c r="AR44" s="41">
        <v>110000</v>
      </c>
      <c r="AS44" s="14" t="s">
        <v>2</v>
      </c>
      <c r="AT44" s="41">
        <v>100000</v>
      </c>
      <c r="AU44" s="41">
        <v>110000</v>
      </c>
      <c r="AV44" s="41">
        <v>106000</v>
      </c>
      <c r="AW44" s="41">
        <v>106000</v>
      </c>
      <c r="AX44" s="41">
        <v>121000</v>
      </c>
      <c r="AY44" s="41">
        <v>121000</v>
      </c>
      <c r="AZ44" s="41">
        <v>106000</v>
      </c>
      <c r="BA44" s="41">
        <v>121000</v>
      </c>
      <c r="BB44" s="41">
        <v>106000</v>
      </c>
      <c r="BC44" s="41">
        <v>121000</v>
      </c>
      <c r="BD44" s="14" t="s">
        <v>2</v>
      </c>
      <c r="BE44" s="14" t="s">
        <v>2</v>
      </c>
      <c r="BF44" s="41">
        <v>106000</v>
      </c>
      <c r="BG44" s="41">
        <v>121000</v>
      </c>
      <c r="BH44" s="14" t="s">
        <v>2</v>
      </c>
      <c r="BI44" s="14" t="s">
        <v>2</v>
      </c>
      <c r="BJ44" s="14" t="s">
        <v>2</v>
      </c>
      <c r="BK44" s="14" t="s">
        <v>2</v>
      </c>
      <c r="BL44" s="14" t="s">
        <v>2</v>
      </c>
      <c r="BM44" s="14" t="s">
        <v>2</v>
      </c>
      <c r="BN44" s="14" t="s">
        <v>2</v>
      </c>
      <c r="BO44" s="14" t="s">
        <v>2</v>
      </c>
      <c r="BP44" s="14" t="s">
        <v>2</v>
      </c>
      <c r="BQ44" s="14" t="s">
        <v>2</v>
      </c>
      <c r="BR44" s="41">
        <v>106000</v>
      </c>
      <c r="BS44" s="41">
        <v>121000</v>
      </c>
      <c r="BT44" s="14" t="s">
        <v>2</v>
      </c>
      <c r="BU44" s="14" t="s">
        <v>2</v>
      </c>
      <c r="BV44" s="41">
        <v>106000</v>
      </c>
      <c r="BW44" s="41">
        <v>121000</v>
      </c>
      <c r="BX44" s="14" t="s">
        <v>2</v>
      </c>
      <c r="BY44" s="14" t="s">
        <v>2</v>
      </c>
      <c r="BZ44" s="14" t="s">
        <v>2</v>
      </c>
      <c r="CA44" s="14" t="s">
        <v>2</v>
      </c>
      <c r="CB44" s="234">
        <v>115000</v>
      </c>
      <c r="CC44" s="234">
        <v>115000</v>
      </c>
      <c r="CD44" s="234">
        <v>131000</v>
      </c>
      <c r="CE44" s="234">
        <v>131000</v>
      </c>
      <c r="CF44" s="234">
        <v>115000</v>
      </c>
      <c r="CG44" s="234">
        <v>131000</v>
      </c>
      <c r="CH44" s="234">
        <v>115000</v>
      </c>
      <c r="CI44" s="234">
        <v>131000</v>
      </c>
      <c r="CJ44" s="14" t="s">
        <v>2</v>
      </c>
      <c r="CK44" s="14" t="s">
        <v>2</v>
      </c>
      <c r="CL44" s="14" t="s">
        <v>2</v>
      </c>
      <c r="CM44" s="14" t="s">
        <v>2</v>
      </c>
      <c r="CN44" s="14" t="s">
        <v>2</v>
      </c>
      <c r="CO44" s="14" t="s">
        <v>2</v>
      </c>
      <c r="CP44" s="14" t="s">
        <v>2</v>
      </c>
      <c r="CQ44" s="14" t="s">
        <v>2</v>
      </c>
      <c r="CR44" s="14" t="s">
        <v>2</v>
      </c>
      <c r="CS44" s="14" t="s">
        <v>2</v>
      </c>
      <c r="CT44" s="14" t="s">
        <v>2</v>
      </c>
      <c r="CU44" s="14" t="s">
        <v>2</v>
      </c>
      <c r="CV44" s="14" t="s">
        <v>2</v>
      </c>
      <c r="CW44" s="14" t="s">
        <v>2</v>
      </c>
      <c r="CX44" s="14" t="s">
        <v>2</v>
      </c>
      <c r="CY44" s="14" t="s">
        <v>2</v>
      </c>
      <c r="CZ44" s="234">
        <v>115000</v>
      </c>
      <c r="DA44" s="234">
        <v>131000</v>
      </c>
      <c r="DB44" s="14" t="s">
        <v>2</v>
      </c>
      <c r="DC44" s="14" t="s">
        <v>2</v>
      </c>
      <c r="DD44" s="14" t="s">
        <v>2</v>
      </c>
      <c r="DE44" s="14" t="s">
        <v>2</v>
      </c>
      <c r="DF44" s="14" t="s">
        <v>2</v>
      </c>
      <c r="DG44" s="234">
        <v>122000</v>
      </c>
      <c r="DH44" s="234">
        <v>122000</v>
      </c>
      <c r="DI44" s="234">
        <v>160000</v>
      </c>
      <c r="DJ44" s="234">
        <v>160000</v>
      </c>
      <c r="DK44" s="234">
        <v>122000</v>
      </c>
      <c r="DL44" s="234">
        <v>160000</v>
      </c>
      <c r="DM44" s="234">
        <v>122000</v>
      </c>
      <c r="DN44" s="234">
        <v>160000</v>
      </c>
      <c r="DO44" s="14" t="s">
        <v>2</v>
      </c>
      <c r="DP44" s="14" t="s">
        <v>2</v>
      </c>
      <c r="DQ44" s="14" t="s">
        <v>2</v>
      </c>
      <c r="DR44" s="14" t="s">
        <v>2</v>
      </c>
      <c r="DS44" s="14" t="s">
        <v>2</v>
      </c>
      <c r="DT44" s="14" t="s">
        <v>2</v>
      </c>
      <c r="DU44" s="14" t="s">
        <v>2</v>
      </c>
      <c r="DV44" s="14" t="s">
        <v>2</v>
      </c>
      <c r="DW44" s="14" t="s">
        <v>2</v>
      </c>
      <c r="DX44" s="14" t="s">
        <v>2</v>
      </c>
      <c r="DY44" s="14" t="s">
        <v>2</v>
      </c>
      <c r="DZ44" s="14" t="s">
        <v>2</v>
      </c>
      <c r="EA44" t="s">
        <v>2</v>
      </c>
    </row>
    <row r="45" spans="1:141" x14ac:dyDescent="0.25">
      <c r="A45" s="11" t="s">
        <v>46</v>
      </c>
      <c r="B45" t="s">
        <v>2</v>
      </c>
      <c r="C45" s="49" t="s">
        <v>2</v>
      </c>
      <c r="D45" s="16" t="s">
        <v>2</v>
      </c>
      <c r="E45" s="16" t="s">
        <v>2</v>
      </c>
      <c r="F45" s="16" t="s">
        <v>2</v>
      </c>
      <c r="G45" s="16" t="s">
        <v>2</v>
      </c>
      <c r="H45" s="16" t="s">
        <v>2</v>
      </c>
      <c r="I45" s="243">
        <v>46407</v>
      </c>
      <c r="J45" s="57">
        <v>46042</v>
      </c>
      <c r="K45" s="57">
        <v>45678</v>
      </c>
      <c r="L45" s="57">
        <v>45335</v>
      </c>
      <c r="M45" s="222">
        <v>44952</v>
      </c>
      <c r="N45" s="164"/>
      <c r="O45" s="336"/>
      <c r="P45" s="15" t="s">
        <v>2</v>
      </c>
      <c r="Q45" s="15" t="s">
        <v>2</v>
      </c>
      <c r="R45" s="15" t="s">
        <v>2</v>
      </c>
      <c r="S45" s="15" t="s">
        <v>2</v>
      </c>
      <c r="T45" s="15" t="s">
        <v>2</v>
      </c>
      <c r="U45" s="15" t="s">
        <v>2</v>
      </c>
      <c r="V45" s="15" t="s">
        <v>2</v>
      </c>
      <c r="W45" s="15" t="s">
        <v>2</v>
      </c>
      <c r="X45" s="15" t="s">
        <v>2</v>
      </c>
      <c r="Y45" s="15" t="s">
        <v>2</v>
      </c>
      <c r="Z45" s="63">
        <v>130000</v>
      </c>
      <c r="AA45" s="63">
        <v>130000</v>
      </c>
      <c r="AB45" s="63">
        <v>140000</v>
      </c>
      <c r="AC45" s="63">
        <v>140000</v>
      </c>
      <c r="AD45" s="63">
        <v>130000</v>
      </c>
      <c r="AE45" s="63">
        <v>140000</v>
      </c>
      <c r="AF45" s="63">
        <v>130000</v>
      </c>
      <c r="AG45" s="63">
        <v>140000</v>
      </c>
      <c r="AH45" s="15" t="s">
        <v>2</v>
      </c>
      <c r="AI45" s="63">
        <v>130000</v>
      </c>
      <c r="AJ45" s="15" t="s">
        <v>2</v>
      </c>
      <c r="AK45" s="15" t="s">
        <v>2</v>
      </c>
      <c r="AL45" s="15" t="s">
        <v>2</v>
      </c>
      <c r="AM45" s="63">
        <v>130000</v>
      </c>
      <c r="AN45" s="63">
        <v>140000</v>
      </c>
      <c r="AO45" s="63">
        <v>130000</v>
      </c>
      <c r="AP45" s="63">
        <v>140000</v>
      </c>
      <c r="AQ45" s="63">
        <v>130000</v>
      </c>
      <c r="AR45" s="63">
        <v>140000</v>
      </c>
      <c r="AS45" s="15" t="s">
        <v>2</v>
      </c>
      <c r="AT45" s="63">
        <v>130000</v>
      </c>
      <c r="AU45" s="63">
        <v>140000</v>
      </c>
      <c r="AV45" s="63">
        <v>146000</v>
      </c>
      <c r="AW45" s="63">
        <v>146000</v>
      </c>
      <c r="AX45" s="63">
        <v>161000</v>
      </c>
      <c r="AY45" s="63">
        <v>161000</v>
      </c>
      <c r="AZ45" s="63">
        <v>146000</v>
      </c>
      <c r="BA45" s="63">
        <v>161000</v>
      </c>
      <c r="BB45" s="63">
        <v>146000</v>
      </c>
      <c r="BC45" s="63">
        <v>161000</v>
      </c>
      <c r="BD45" s="15" t="s">
        <v>2</v>
      </c>
      <c r="BE45" s="15" t="s">
        <v>2</v>
      </c>
      <c r="BF45" s="63">
        <v>146000</v>
      </c>
      <c r="BG45" s="63">
        <v>161000</v>
      </c>
      <c r="BH45" s="15" t="s">
        <v>2</v>
      </c>
      <c r="BI45" s="15" t="s">
        <v>2</v>
      </c>
      <c r="BJ45" s="15" t="s">
        <v>2</v>
      </c>
      <c r="BK45" s="15" t="s">
        <v>2</v>
      </c>
      <c r="BL45" s="15" t="s">
        <v>2</v>
      </c>
      <c r="BM45" s="15" t="s">
        <v>2</v>
      </c>
      <c r="BN45" s="15" t="s">
        <v>2</v>
      </c>
      <c r="BO45" s="15" t="s">
        <v>2</v>
      </c>
      <c r="BP45" s="15" t="s">
        <v>2</v>
      </c>
      <c r="BQ45" s="15" t="s">
        <v>2</v>
      </c>
      <c r="BR45" s="63">
        <v>146000</v>
      </c>
      <c r="BS45" s="63">
        <v>161000</v>
      </c>
      <c r="BT45" s="15" t="s">
        <v>2</v>
      </c>
      <c r="BU45" s="15" t="s">
        <v>2</v>
      </c>
      <c r="BV45" s="63">
        <v>146000</v>
      </c>
      <c r="BW45" s="63">
        <v>161000</v>
      </c>
      <c r="BX45" s="15" t="s">
        <v>2</v>
      </c>
      <c r="BY45" s="15" t="s">
        <v>2</v>
      </c>
      <c r="BZ45" s="15" t="s">
        <v>2</v>
      </c>
      <c r="CA45" s="15" t="s">
        <v>2</v>
      </c>
      <c r="CB45" s="235">
        <v>160000</v>
      </c>
      <c r="CC45" s="235">
        <v>160000</v>
      </c>
      <c r="CD45" s="235">
        <v>177000</v>
      </c>
      <c r="CE45" s="235">
        <v>177000</v>
      </c>
      <c r="CF45" s="235">
        <v>160000</v>
      </c>
      <c r="CG45" s="235">
        <v>177000</v>
      </c>
      <c r="CH45" s="235">
        <v>160000</v>
      </c>
      <c r="CI45" s="235">
        <v>177000</v>
      </c>
      <c r="CJ45" s="15" t="s">
        <v>2</v>
      </c>
      <c r="CK45" s="15" t="s">
        <v>2</v>
      </c>
      <c r="CL45" s="15" t="s">
        <v>2</v>
      </c>
      <c r="CM45" s="15" t="s">
        <v>2</v>
      </c>
      <c r="CN45" s="15" t="s">
        <v>2</v>
      </c>
      <c r="CO45" s="15" t="s">
        <v>2</v>
      </c>
      <c r="CP45" s="15" t="s">
        <v>2</v>
      </c>
      <c r="CQ45" s="15" t="s">
        <v>2</v>
      </c>
      <c r="CR45" s="15" t="s">
        <v>2</v>
      </c>
      <c r="CS45" s="15" t="s">
        <v>2</v>
      </c>
      <c r="CT45" s="15" t="s">
        <v>2</v>
      </c>
      <c r="CU45" s="15" t="s">
        <v>2</v>
      </c>
      <c r="CV45" s="15" t="s">
        <v>2</v>
      </c>
      <c r="CW45" s="15" t="s">
        <v>2</v>
      </c>
      <c r="CX45" s="15" t="s">
        <v>2</v>
      </c>
      <c r="CY45" s="15" t="s">
        <v>2</v>
      </c>
      <c r="CZ45" s="235">
        <v>160000</v>
      </c>
      <c r="DA45" s="235">
        <v>177000</v>
      </c>
      <c r="DB45" s="15" t="s">
        <v>2</v>
      </c>
      <c r="DC45" s="15" t="s">
        <v>2</v>
      </c>
      <c r="DD45" s="15" t="s">
        <v>2</v>
      </c>
      <c r="DE45" s="15" t="s">
        <v>2</v>
      </c>
      <c r="DF45" s="15" t="s">
        <v>2</v>
      </c>
      <c r="DG45" s="235">
        <v>147000</v>
      </c>
      <c r="DH45" s="235">
        <v>147000</v>
      </c>
      <c r="DI45" s="235">
        <v>177000</v>
      </c>
      <c r="DJ45" s="235">
        <v>177000</v>
      </c>
      <c r="DK45" s="235">
        <v>147000</v>
      </c>
      <c r="DL45" s="235">
        <v>177000</v>
      </c>
      <c r="DM45" s="235">
        <v>147000</v>
      </c>
      <c r="DN45" s="235">
        <v>177000</v>
      </c>
      <c r="DO45" s="15" t="s">
        <v>2</v>
      </c>
      <c r="DP45" s="15" t="s">
        <v>2</v>
      </c>
      <c r="DQ45" s="15" t="s">
        <v>2</v>
      </c>
      <c r="DR45" s="15" t="s">
        <v>2</v>
      </c>
      <c r="DS45" s="15" t="s">
        <v>2</v>
      </c>
      <c r="DT45" s="15" t="s">
        <v>2</v>
      </c>
      <c r="DU45" s="15" t="s">
        <v>2</v>
      </c>
      <c r="DV45" s="15" t="s">
        <v>2</v>
      </c>
      <c r="DW45" s="15" t="s">
        <v>2</v>
      </c>
      <c r="DX45" s="15" t="s">
        <v>2</v>
      </c>
      <c r="DY45" s="15" t="s">
        <v>2</v>
      </c>
      <c r="DZ45" s="15" t="s">
        <v>2</v>
      </c>
      <c r="EA45" t="s">
        <v>2</v>
      </c>
    </row>
    <row r="46" spans="1:141" x14ac:dyDescent="0.25">
      <c r="A46" s="11" t="s">
        <v>47</v>
      </c>
      <c r="B46" t="s">
        <v>2</v>
      </c>
      <c r="C46" s="49" t="s">
        <v>2</v>
      </c>
      <c r="D46" s="16" t="s">
        <v>2</v>
      </c>
      <c r="E46" s="16" t="s">
        <v>2</v>
      </c>
      <c r="F46" s="16" t="s">
        <v>2</v>
      </c>
      <c r="G46" s="16" t="s">
        <v>2</v>
      </c>
      <c r="H46" s="16" t="s">
        <v>2</v>
      </c>
      <c r="I46" s="16" t="s">
        <v>2</v>
      </c>
      <c r="J46" s="57">
        <v>46161</v>
      </c>
      <c r="K46" s="57">
        <v>45791</v>
      </c>
      <c r="L46" s="57">
        <v>45428</v>
      </c>
      <c r="M46" s="222">
        <v>45007</v>
      </c>
      <c r="N46" s="164"/>
      <c r="EA46" t="s">
        <v>2</v>
      </c>
    </row>
    <row r="47" spans="1:141" ht="15" customHeight="1" x14ac:dyDescent="0.25">
      <c r="A47" s="11" t="s">
        <v>48</v>
      </c>
      <c r="B47" t="s">
        <v>2</v>
      </c>
      <c r="C47" s="49" t="s">
        <v>2</v>
      </c>
      <c r="D47" s="16" t="s">
        <v>2</v>
      </c>
      <c r="E47" s="16" t="s">
        <v>2</v>
      </c>
      <c r="F47" s="16" t="s">
        <v>2</v>
      </c>
      <c r="G47" s="16" t="s">
        <v>2</v>
      </c>
      <c r="H47" s="16" t="s">
        <v>2</v>
      </c>
      <c r="I47" s="16" t="s">
        <v>2</v>
      </c>
      <c r="J47" s="57">
        <v>46162</v>
      </c>
      <c r="K47" s="57">
        <v>45692</v>
      </c>
      <c r="L47" s="57">
        <v>45427</v>
      </c>
      <c r="M47" s="222">
        <v>45034</v>
      </c>
      <c r="N47" s="164"/>
      <c r="O47" s="334" t="s">
        <v>210</v>
      </c>
      <c r="P47" s="28" t="str">
        <f>$P$3</f>
        <v xml:space="preserve">  RFA 2023-102</v>
      </c>
      <c r="Q47" s="28" t="str">
        <f>$Q$3</f>
        <v xml:space="preserve">  RFA 2023-102SF</v>
      </c>
      <c r="R47" s="28" t="str">
        <f>$R$3</f>
        <v xml:space="preserve">  RFA 2023-103</v>
      </c>
      <c r="S47" s="28" t="str">
        <f>$S$3</f>
        <v xml:space="preserve">  RFA 2023-103SF</v>
      </c>
      <c r="T47" s="28" t="str">
        <f>$T$3</f>
        <v xml:space="preserve">  RFA 2023-104</v>
      </c>
      <c r="U47" s="28" t="str">
        <f>$U$3</f>
        <v xml:space="preserve">  RFA 2023-104SF</v>
      </c>
      <c r="V47" s="28" t="str">
        <f>$V$3</f>
        <v xml:space="preserve">  RFA 2023-105</v>
      </c>
      <c r="W47" s="28" t="str">
        <f>$W$3</f>
        <v xml:space="preserve">  RFA 2023-106</v>
      </c>
      <c r="X47" s="28" t="str">
        <f>$X$3</f>
        <v xml:space="preserve">  RFA 2023-106SF</v>
      </c>
      <c r="Y47" s="28" t="str">
        <f>$Y$3</f>
        <v xml:space="preserve">  RFA 2023-108</v>
      </c>
      <c r="Z47" s="167" t="str">
        <f>$Z$3</f>
        <v xml:space="preserve">  RFA 2023-201</v>
      </c>
      <c r="AA47" s="167" t="str">
        <f>$AA$3</f>
        <v xml:space="preserve">  RFA 2023-202</v>
      </c>
      <c r="AB47" s="167" t="str">
        <f>$AB$3</f>
        <v xml:space="preserve">  RFA 2023-202SF</v>
      </c>
      <c r="AC47" s="167" t="str">
        <f>$AC$3</f>
        <v xml:space="preserve">  RFA 2023-203SF</v>
      </c>
      <c r="AD47" s="167" t="s">
        <v>267</v>
      </c>
      <c r="AE47" s="167" t="s">
        <v>268</v>
      </c>
      <c r="AF47" s="167" t="str">
        <f>$AF$3</f>
        <v xml:space="preserve">  RFA 2023-205</v>
      </c>
      <c r="AG47" s="167" t="str">
        <f>$AG$3</f>
        <v xml:space="preserve">  RFA 2023-205SF</v>
      </c>
      <c r="AH47" s="214" t="str">
        <f>$AH$3</f>
        <v xml:space="preserve">  RFA 2023-211</v>
      </c>
      <c r="AI47" s="167" t="str">
        <f>$AI$3</f>
        <v xml:space="preserve">  RFA 2023-212</v>
      </c>
      <c r="AJ47" s="167" t="str">
        <f>$AJ$3</f>
        <v xml:space="preserve">  RFA 2023-213</v>
      </c>
      <c r="AK47" s="167" t="str">
        <f>AK$3</f>
        <v xml:space="preserve">  RFA 2023-213SF</v>
      </c>
      <c r="AL47" s="214" t="str">
        <f>$AL$3</f>
        <v xml:space="preserve">  RFA 2023-304</v>
      </c>
      <c r="AM47" s="167" t="str">
        <f>$AM$3</f>
        <v xml:space="preserve">  RFA 2024-102</v>
      </c>
      <c r="AN47" s="167" t="str">
        <f>$AN$3</f>
        <v xml:space="preserve">  RFA 2024-102SF</v>
      </c>
      <c r="AO47" s="167" t="str">
        <f>$AO$3</f>
        <v xml:space="preserve">  RFA 2024-103</v>
      </c>
      <c r="AP47" s="167" t="str">
        <f>$AP$3</f>
        <v xml:space="preserve">  RFA 2024-103SF</v>
      </c>
      <c r="AQ47" s="167" t="str">
        <f>$AQ$3</f>
        <v xml:space="preserve">  RFA 2024-104</v>
      </c>
      <c r="AR47" s="167" t="str">
        <f>$AR$3</f>
        <v xml:space="preserve">  RFA 2024-104SF</v>
      </c>
      <c r="AS47" s="167" t="str">
        <f>$AS$3</f>
        <v xml:space="preserve">  RFA 2024-105</v>
      </c>
      <c r="AT47" s="167" t="str">
        <f t="shared" ref="AT47:BC47" si="43">AT3</f>
        <v xml:space="preserve">  RFA 2024-106</v>
      </c>
      <c r="AU47" s="167" t="str">
        <f t="shared" si="43"/>
        <v xml:space="preserve">  RFA 2024-106SF</v>
      </c>
      <c r="AV47" s="167" t="str">
        <f t="shared" si="43"/>
        <v xml:space="preserve">  RFA 2024-201</v>
      </c>
      <c r="AW47" s="167" t="str">
        <f t="shared" si="43"/>
        <v xml:space="preserve">  RFA 2024-202</v>
      </c>
      <c r="AX47" s="167" t="str">
        <f t="shared" si="43"/>
        <v xml:space="preserve">  RFA 2024-202SF</v>
      </c>
      <c r="AY47" s="167" t="str">
        <f t="shared" si="43"/>
        <v xml:space="preserve">  RFA 2024-203</v>
      </c>
      <c r="AZ47" s="167" t="str">
        <f t="shared" si="43"/>
        <v xml:space="preserve">  RFA 2024-204</v>
      </c>
      <c r="BA47" s="167" t="str">
        <f t="shared" si="43"/>
        <v xml:space="preserve">  RFA 2024-204SF</v>
      </c>
      <c r="BB47" s="167" t="str">
        <f t="shared" si="43"/>
        <v xml:space="preserve">  RFA 2024-205</v>
      </c>
      <c r="BC47" s="167" t="str">
        <f t="shared" si="43"/>
        <v xml:space="preserve">  RFA 2024-205SF</v>
      </c>
      <c r="BD47" s="167" t="str">
        <f>$BD$3</f>
        <v xml:space="preserve">  RFA 2024-206</v>
      </c>
      <c r="BE47" s="167" t="str">
        <f t="shared" ref="BE47:BY47" si="44">BE3</f>
        <v xml:space="preserve">  RFA 2024-206SF</v>
      </c>
      <c r="BF47" s="167" t="str">
        <f>$BF$3</f>
        <v xml:space="preserve">  RFA 2024-213</v>
      </c>
      <c r="BG47" s="167" t="str">
        <f>$BG$3</f>
        <v xml:space="preserve">  RFA 2024-213SF</v>
      </c>
      <c r="BH47" s="167" t="str">
        <f t="shared" si="44"/>
        <v xml:space="preserve">  RFA 2024-214</v>
      </c>
      <c r="BI47" s="167" t="str">
        <f t="shared" si="44"/>
        <v xml:space="preserve">  RFA 2024-214SF</v>
      </c>
      <c r="BJ47" s="167" t="str">
        <f t="shared" si="44"/>
        <v xml:space="preserve">  RFA 2024-215</v>
      </c>
      <c r="BK47" s="167" t="str">
        <f t="shared" si="44"/>
        <v xml:space="preserve">  RFA 2024-215SF</v>
      </c>
      <c r="BL47" s="167" t="str">
        <f t="shared" si="44"/>
        <v xml:space="preserve">  RFA 2024-216</v>
      </c>
      <c r="BM47" s="167" t="str">
        <f t="shared" si="44"/>
        <v xml:space="preserve">  RFA 2024-216SF</v>
      </c>
      <c r="BN47" s="167" t="str">
        <f t="shared" si="44"/>
        <v xml:space="preserve">  RFA 2024-305</v>
      </c>
      <c r="BO47" s="167" t="str">
        <f t="shared" si="44"/>
        <v xml:space="preserve">  RFA 2024-305SF</v>
      </c>
      <c r="BP47" s="167" t="str">
        <f t="shared" si="44"/>
        <v xml:space="preserve">  RFA 2024-306</v>
      </c>
      <c r="BQ47" s="167" t="str">
        <f t="shared" ref="BQ47:BW47" si="45">BQ3</f>
        <v xml:space="preserve">  RFA 2024-306SF</v>
      </c>
      <c r="BR47" s="167" t="str">
        <f t="shared" si="44"/>
        <v xml:space="preserve">  RFA 2025-102</v>
      </c>
      <c r="BS47" s="167" t="str">
        <f t="shared" si="45"/>
        <v xml:space="preserve">  RFA 2025-102SF</v>
      </c>
      <c r="BT47" s="167" t="str">
        <f t="shared" si="44"/>
        <v xml:space="preserve">  RFA 2025-103</v>
      </c>
      <c r="BU47" s="167" t="str">
        <f t="shared" si="45"/>
        <v xml:space="preserve">  RFA 2025-103SF</v>
      </c>
      <c r="BV47" s="167" t="str">
        <f t="shared" si="44"/>
        <v xml:space="preserve">  RFA 2025-104</v>
      </c>
      <c r="BW47" s="167" t="str">
        <f t="shared" si="45"/>
        <v xml:space="preserve">  RFA 2025-104SF</v>
      </c>
      <c r="BX47" s="167" t="str">
        <f t="shared" si="44"/>
        <v xml:space="preserve">  RFA 2025-106</v>
      </c>
      <c r="BY47" s="167" t="str">
        <f t="shared" si="44"/>
        <v xml:space="preserve">  RFA 2025-106SF</v>
      </c>
      <c r="BZ47" s="167" t="str">
        <f>$BZ$3</f>
        <v xml:space="preserve">  RFA 2025-108</v>
      </c>
      <c r="CA47" s="167" t="str">
        <f>$CA$3</f>
        <v xml:space="preserve">  RFA 2025-108SF</v>
      </c>
      <c r="CB47" s="167" t="str">
        <f t="shared" ref="CB47:CI47" si="46">CB3</f>
        <v xml:space="preserve">  RFA 2025-201</v>
      </c>
      <c r="CC47" s="167" t="str">
        <f t="shared" si="46"/>
        <v xml:space="preserve">  RFA 2025-202</v>
      </c>
      <c r="CD47" s="167" t="str">
        <f t="shared" si="46"/>
        <v xml:space="preserve">  RFA 2025-202SF</v>
      </c>
      <c r="CE47" s="167" t="str">
        <f t="shared" si="46"/>
        <v xml:space="preserve">  RFA 2025-203</v>
      </c>
      <c r="CF47" s="167" t="str">
        <f t="shared" si="46"/>
        <v xml:space="preserve">  RFA 2025-204</v>
      </c>
      <c r="CG47" s="167" t="str">
        <f t="shared" si="46"/>
        <v xml:space="preserve">  RFA 2025-204SF</v>
      </c>
      <c r="CH47" s="167" t="str">
        <f t="shared" si="46"/>
        <v xml:space="preserve">  RFA 2025-205</v>
      </c>
      <c r="CI47" s="167" t="str">
        <f t="shared" si="46"/>
        <v xml:space="preserve">  RFA 2025-205SF</v>
      </c>
      <c r="CJ47" s="167" t="str">
        <f t="shared" ref="CJ47:CK47" si="47">CJ3</f>
        <v xml:space="preserve">  RFA 2025-206</v>
      </c>
      <c r="CK47" s="167" t="str">
        <f t="shared" si="47"/>
        <v xml:space="preserve">  RFA 2025-206SF</v>
      </c>
      <c r="CL47" s="167" t="str">
        <f>CL38</f>
        <v xml:space="preserve">  RFA 2025-212</v>
      </c>
      <c r="CM47" s="167" t="str">
        <f>CM38</f>
        <v xml:space="preserve">  RFA 2025-212SF</v>
      </c>
      <c r="CN47" s="167" t="str">
        <f>CN38</f>
        <v xml:space="preserve">  RFA 2025-213</v>
      </c>
      <c r="CO47" s="167" t="str">
        <f>CO38</f>
        <v xml:space="preserve">  RFA 2025-213SF</v>
      </c>
      <c r="CP47" s="167" t="str">
        <f t="shared" ref="CP47:CY47" si="48">CP3</f>
        <v xml:space="preserve">  RFA 2025-214</v>
      </c>
      <c r="CQ47" s="167" t="str">
        <f t="shared" si="48"/>
        <v xml:space="preserve">  RFA 2025-214SF</v>
      </c>
      <c r="CR47" s="167" t="str">
        <f t="shared" si="48"/>
        <v xml:space="preserve">  RFA 2025-215</v>
      </c>
      <c r="CS47" s="167" t="str">
        <f t="shared" si="48"/>
        <v xml:space="preserve">  RFA 2025-215SF</v>
      </c>
      <c r="CT47" s="167" t="str">
        <f>CT3</f>
        <v xml:space="preserve">  RFA 2025-216</v>
      </c>
      <c r="CU47" s="167" t="str">
        <f>CU3</f>
        <v xml:space="preserve">  RFA 2025-216SF</v>
      </c>
      <c r="CV47" s="167" t="str">
        <f t="shared" si="48"/>
        <v xml:space="preserve">  RFA 2026-102</v>
      </c>
      <c r="CW47" s="167" t="str">
        <f t="shared" si="48"/>
        <v xml:space="preserve">  RFA 2026-102SF</v>
      </c>
      <c r="CX47" s="167" t="str">
        <f t="shared" si="48"/>
        <v xml:space="preserve">  RFA 2026-103</v>
      </c>
      <c r="CY47" s="167" t="str">
        <f t="shared" si="48"/>
        <v xml:space="preserve">  RFA 2026-103SF</v>
      </c>
      <c r="CZ47" s="167" t="str">
        <f>CZ38</f>
        <v xml:space="preserve">  RFA 2026-104</v>
      </c>
      <c r="DA47" s="167" t="str">
        <f>DA38</f>
        <v xml:space="preserve">  RFA 2026-104SF</v>
      </c>
      <c r="DB47" s="167" t="str">
        <f>DB38</f>
        <v xml:space="preserve">  RFA 2026-105</v>
      </c>
      <c r="DC47" s="167" t="str">
        <f t="shared" ref="DC47:DJ47" si="49">DC3</f>
        <v xml:space="preserve">  RFA 2026-106</v>
      </c>
      <c r="DD47" s="167" t="str">
        <f t="shared" si="49"/>
        <v xml:space="preserve">  RFA 2026-106SF</v>
      </c>
      <c r="DE47" s="167" t="str">
        <f>$DE$3</f>
        <v xml:space="preserve">  RFA 2026-108</v>
      </c>
      <c r="DF47" s="167" t="str">
        <f>$DF$3</f>
        <v xml:space="preserve">  RFA 2026-108SF</v>
      </c>
      <c r="DG47" s="167" t="str">
        <f>DG3</f>
        <v xml:space="preserve">  RFA 2026-201</v>
      </c>
      <c r="DH47" s="167" t="str">
        <f t="shared" si="49"/>
        <v xml:space="preserve">  RFA 2026-202</v>
      </c>
      <c r="DI47" s="167" t="str">
        <f t="shared" si="49"/>
        <v xml:space="preserve">  RFA 2026-202SF</v>
      </c>
      <c r="DJ47" s="167" t="str">
        <f t="shared" si="49"/>
        <v xml:space="preserve">  RFA 2026-203</v>
      </c>
      <c r="DK47" s="167" t="str">
        <f>DK38</f>
        <v xml:space="preserve">  RFA 2026-204</v>
      </c>
      <c r="DL47" s="167" t="str">
        <f>DL38</f>
        <v xml:space="preserve">  RFA 2026-204SF</v>
      </c>
      <c r="DM47" s="167" t="s">
        <v>422</v>
      </c>
      <c r="DN47" s="167" t="s">
        <v>423</v>
      </c>
      <c r="DO47" s="167" t="str">
        <f t="shared" ref="DO47:DV47" si="50">DO3</f>
        <v xml:space="preserve">  RFA 2026-206</v>
      </c>
      <c r="DP47" s="167" t="str">
        <f t="shared" si="50"/>
        <v xml:space="preserve">  RFA 2026-206SF</v>
      </c>
      <c r="DQ47" s="167" t="str">
        <f t="shared" si="50"/>
        <v xml:space="preserve">  RFA 2026-212</v>
      </c>
      <c r="DR47" s="167" t="str">
        <f t="shared" si="50"/>
        <v xml:space="preserve">  RFA 2026-212SF</v>
      </c>
      <c r="DS47" s="167" t="str">
        <f t="shared" si="50"/>
        <v xml:space="preserve">  RFA 2026-216</v>
      </c>
      <c r="DT47" s="167" t="str">
        <f t="shared" si="50"/>
        <v xml:space="preserve">  RFA 2026-216SF</v>
      </c>
      <c r="DU47" s="167" t="str">
        <f t="shared" si="50"/>
        <v xml:space="preserve">  RFA 2026-218</v>
      </c>
      <c r="DV47" s="167" t="str">
        <f t="shared" si="50"/>
        <v xml:space="preserve">  RFA 2026-218SF</v>
      </c>
      <c r="DW47" s="167" t="str">
        <f>$DW$3</f>
        <v xml:space="preserve">  RFA 2027-103</v>
      </c>
      <c r="DX47" s="167" t="str">
        <f>$DX$3</f>
        <v xml:space="preserve">  RFA 2027-103SF</v>
      </c>
      <c r="DY47" s="167" t="str">
        <f>$DY$3</f>
        <v xml:space="preserve">  RFA 2027-106</v>
      </c>
      <c r="DZ47" s="167" t="str">
        <f>$DZ$3</f>
        <v xml:space="preserve">  RFA 2027-106SF</v>
      </c>
      <c r="EA47" t="s">
        <v>2</v>
      </c>
    </row>
    <row r="48" spans="1:141" x14ac:dyDescent="0.25">
      <c r="A48" s="11" t="s">
        <v>49</v>
      </c>
      <c r="B48" t="s">
        <v>2</v>
      </c>
      <c r="C48" s="49" t="s">
        <v>2</v>
      </c>
      <c r="D48" s="16" t="s">
        <v>2</v>
      </c>
      <c r="E48" s="16" t="s">
        <v>2</v>
      </c>
      <c r="F48" s="16" t="s">
        <v>2</v>
      </c>
      <c r="G48" s="16" t="s">
        <v>2</v>
      </c>
      <c r="H48" s="16" t="s">
        <v>2</v>
      </c>
      <c r="I48" s="16" t="s">
        <v>2</v>
      </c>
      <c r="J48" s="57">
        <v>46043</v>
      </c>
      <c r="K48" s="57">
        <v>45818</v>
      </c>
      <c r="L48" s="57">
        <v>45337</v>
      </c>
      <c r="M48" s="222">
        <v>44957</v>
      </c>
      <c r="N48" s="164"/>
      <c r="O48" s="335"/>
      <c r="P48" s="14" t="s">
        <v>2</v>
      </c>
      <c r="Q48" s="14" t="s">
        <v>2</v>
      </c>
      <c r="R48" s="14" t="s">
        <v>2</v>
      </c>
      <c r="S48" s="14" t="s">
        <v>2</v>
      </c>
      <c r="T48" s="14" t="s">
        <v>2</v>
      </c>
      <c r="U48" s="14" t="s">
        <v>2</v>
      </c>
      <c r="V48" s="14" t="s">
        <v>2</v>
      </c>
      <c r="W48" s="14" t="s">
        <v>2</v>
      </c>
      <c r="X48" s="14" t="s">
        <v>2</v>
      </c>
      <c r="Y48" s="14" t="s">
        <v>2</v>
      </c>
      <c r="Z48" s="132">
        <v>0.06</v>
      </c>
      <c r="AA48" s="132">
        <v>0.06</v>
      </c>
      <c r="AB48" s="132">
        <v>0.06</v>
      </c>
      <c r="AC48" s="132">
        <v>0.06</v>
      </c>
      <c r="AD48" s="132">
        <v>0.06</v>
      </c>
      <c r="AE48" s="132">
        <v>0.06</v>
      </c>
      <c r="AF48" s="132">
        <v>0.06</v>
      </c>
      <c r="AG48" s="132">
        <v>0.06</v>
      </c>
      <c r="AH48" s="14" t="s">
        <v>2</v>
      </c>
      <c r="AI48" s="132">
        <v>0.06</v>
      </c>
      <c r="AJ48" s="132">
        <v>0.06</v>
      </c>
      <c r="AK48" s="132">
        <v>0.06</v>
      </c>
      <c r="AL48" s="14" t="s">
        <v>2</v>
      </c>
      <c r="AM48" s="132">
        <v>0.06</v>
      </c>
      <c r="AN48" s="132">
        <v>0.06</v>
      </c>
      <c r="AO48" s="132">
        <v>0.06</v>
      </c>
      <c r="AP48" s="132">
        <v>0.06</v>
      </c>
      <c r="AQ48" s="132">
        <v>0.06</v>
      </c>
      <c r="AR48" s="132">
        <v>0.06</v>
      </c>
      <c r="AS48" s="14" t="s">
        <v>2</v>
      </c>
      <c r="AT48" s="132">
        <v>0.06</v>
      </c>
      <c r="AU48" s="132">
        <v>0.06</v>
      </c>
      <c r="AV48" s="132">
        <v>0.06</v>
      </c>
      <c r="AW48" s="132">
        <v>0.06</v>
      </c>
      <c r="AX48" s="132">
        <v>0.06</v>
      </c>
      <c r="AY48" s="132">
        <v>0.06</v>
      </c>
      <c r="AZ48" s="132">
        <v>0.06</v>
      </c>
      <c r="BA48" s="132">
        <v>0.06</v>
      </c>
      <c r="BB48" s="132">
        <v>0.06</v>
      </c>
      <c r="BC48" s="132">
        <v>0.06</v>
      </c>
      <c r="BD48" s="132">
        <v>0.06</v>
      </c>
      <c r="BE48" s="132">
        <v>0.06</v>
      </c>
      <c r="BF48" s="132">
        <v>0.06</v>
      </c>
      <c r="BG48" s="132">
        <v>0.06</v>
      </c>
      <c r="BH48" s="132">
        <v>0.06</v>
      </c>
      <c r="BI48" s="132">
        <v>0.06</v>
      </c>
      <c r="BJ48" s="132">
        <v>0.06</v>
      </c>
      <c r="BK48" s="132">
        <v>0.06</v>
      </c>
      <c r="BL48" s="132">
        <v>0.06</v>
      </c>
      <c r="BM48" s="132">
        <v>0.06</v>
      </c>
      <c r="BN48" s="132">
        <v>0.06</v>
      </c>
      <c r="BO48" s="132">
        <v>0.06</v>
      </c>
      <c r="BP48" s="132">
        <v>0.06</v>
      </c>
      <c r="BQ48" s="132">
        <v>0.06</v>
      </c>
      <c r="BR48" s="132">
        <v>0.06</v>
      </c>
      <c r="BS48" s="132">
        <v>0.06</v>
      </c>
      <c r="BT48" s="132">
        <v>0.06</v>
      </c>
      <c r="BU48" s="132">
        <v>0.06</v>
      </c>
      <c r="BV48" s="132">
        <v>0.06</v>
      </c>
      <c r="BW48" s="132">
        <v>0.06</v>
      </c>
      <c r="BX48" s="132">
        <v>0.06</v>
      </c>
      <c r="BY48" s="132">
        <v>0.06</v>
      </c>
      <c r="BZ48" s="132">
        <v>0.06</v>
      </c>
      <c r="CA48" s="132">
        <v>0.06</v>
      </c>
      <c r="CB48" s="132">
        <v>0.06</v>
      </c>
      <c r="CC48" s="132">
        <v>0.06</v>
      </c>
      <c r="CD48" s="132">
        <v>0.06</v>
      </c>
      <c r="CE48" s="132">
        <v>0.06</v>
      </c>
      <c r="CF48" s="132">
        <v>0.06</v>
      </c>
      <c r="CG48" s="132">
        <v>0.06</v>
      </c>
      <c r="CH48" s="132">
        <v>0.06</v>
      </c>
      <c r="CI48" s="132">
        <v>0.06</v>
      </c>
      <c r="CJ48" s="132">
        <v>0.06</v>
      </c>
      <c r="CK48" s="132">
        <v>0.06</v>
      </c>
      <c r="CL48" s="132">
        <v>0.06</v>
      </c>
      <c r="CM48" s="132">
        <v>0.06</v>
      </c>
      <c r="CN48" s="132">
        <v>0.06</v>
      </c>
      <c r="CO48" s="132">
        <v>0.06</v>
      </c>
      <c r="CP48" s="132">
        <v>0.06</v>
      </c>
      <c r="CQ48" s="132">
        <v>0.06</v>
      </c>
      <c r="CR48" s="132">
        <v>0.06</v>
      </c>
      <c r="CS48" s="132">
        <v>0.06</v>
      </c>
      <c r="CT48" s="132">
        <v>0.06</v>
      </c>
      <c r="CU48" s="132">
        <v>0.06</v>
      </c>
      <c r="CV48" s="132">
        <v>0.06</v>
      </c>
      <c r="CW48" s="132">
        <v>0.06</v>
      </c>
      <c r="CX48" s="132">
        <v>0.06</v>
      </c>
      <c r="CY48" s="132">
        <v>0.06</v>
      </c>
      <c r="CZ48" s="132">
        <v>0.06</v>
      </c>
      <c r="DA48" s="132">
        <v>0.06</v>
      </c>
      <c r="DB48" s="14" t="s">
        <v>2</v>
      </c>
      <c r="DC48" s="132">
        <v>0.06</v>
      </c>
      <c r="DD48" s="132">
        <v>0.06</v>
      </c>
      <c r="DE48" s="132">
        <v>0.06</v>
      </c>
      <c r="DF48" s="132">
        <v>0.06</v>
      </c>
      <c r="DG48" s="132">
        <v>0.06</v>
      </c>
      <c r="DH48" s="132">
        <v>0.06</v>
      </c>
      <c r="DI48" s="132">
        <v>0.06</v>
      </c>
      <c r="DJ48" s="132">
        <v>0.06</v>
      </c>
      <c r="DK48" s="132">
        <v>0.06</v>
      </c>
      <c r="DL48" s="132">
        <v>0.06</v>
      </c>
      <c r="DM48" s="132">
        <v>0.06</v>
      </c>
      <c r="DN48" s="132">
        <v>0.06</v>
      </c>
      <c r="DO48" s="132">
        <v>0.06</v>
      </c>
      <c r="DP48" s="132">
        <v>0.06</v>
      </c>
      <c r="DQ48" s="132">
        <v>0.06</v>
      </c>
      <c r="DR48" s="132">
        <v>0.06</v>
      </c>
      <c r="DS48" s="132">
        <v>0.06</v>
      </c>
      <c r="DT48" s="132">
        <v>0.06</v>
      </c>
      <c r="DU48" s="14" t="s">
        <v>2</v>
      </c>
      <c r="DV48" s="14" t="s">
        <v>2</v>
      </c>
      <c r="DW48" s="132">
        <v>0.06</v>
      </c>
      <c r="DX48" s="132">
        <v>0.06</v>
      </c>
      <c r="DY48" s="132">
        <v>0.06</v>
      </c>
      <c r="DZ48" s="132">
        <v>0.06</v>
      </c>
    </row>
    <row r="49" spans="1:130" x14ac:dyDescent="0.25">
      <c r="A49" s="11" t="s">
        <v>50</v>
      </c>
      <c r="B49" t="s">
        <v>2</v>
      </c>
      <c r="C49" s="49" t="s">
        <v>2</v>
      </c>
      <c r="D49" s="16" t="s">
        <v>2</v>
      </c>
      <c r="E49" s="16" t="s">
        <v>2</v>
      </c>
      <c r="F49" s="16" t="s">
        <v>2</v>
      </c>
      <c r="G49" s="16" t="s">
        <v>2</v>
      </c>
      <c r="H49" s="16" t="s">
        <v>2</v>
      </c>
      <c r="I49" s="16" t="s">
        <v>2</v>
      </c>
      <c r="J49" s="57">
        <v>46259</v>
      </c>
      <c r="K49" s="57">
        <v>45979</v>
      </c>
      <c r="L49" s="57">
        <v>45482</v>
      </c>
      <c r="M49" s="222">
        <v>45027</v>
      </c>
      <c r="N49" s="164"/>
      <c r="O49" s="335"/>
      <c r="P49" s="14" t="s">
        <v>2</v>
      </c>
      <c r="Q49" s="14" t="s">
        <v>2</v>
      </c>
      <c r="R49" s="14" t="s">
        <v>2</v>
      </c>
      <c r="S49" s="14" t="s">
        <v>2</v>
      </c>
      <c r="T49" s="14" t="s">
        <v>2</v>
      </c>
      <c r="U49" s="14" t="s">
        <v>2</v>
      </c>
      <c r="V49" s="14" t="s">
        <v>2</v>
      </c>
      <c r="W49" s="14" t="s">
        <v>2</v>
      </c>
      <c r="X49" s="14" t="s">
        <v>2</v>
      </c>
      <c r="Y49" s="14" t="s">
        <v>2</v>
      </c>
      <c r="Z49" s="132">
        <v>0.06</v>
      </c>
      <c r="AA49" s="132">
        <v>0.06</v>
      </c>
      <c r="AB49" s="132">
        <v>0.06</v>
      </c>
      <c r="AC49" s="132">
        <v>0.06</v>
      </c>
      <c r="AD49" s="132">
        <v>0.06</v>
      </c>
      <c r="AE49" s="132">
        <v>0.06</v>
      </c>
      <c r="AF49" s="132">
        <v>0.06</v>
      </c>
      <c r="AG49" s="132">
        <v>0.06</v>
      </c>
      <c r="AH49" s="14" t="s">
        <v>2</v>
      </c>
      <c r="AI49" s="132">
        <v>0.06</v>
      </c>
      <c r="AJ49" s="132">
        <v>0.06</v>
      </c>
      <c r="AK49" s="132">
        <v>0.06</v>
      </c>
      <c r="AL49" s="14" t="s">
        <v>2</v>
      </c>
      <c r="AM49" s="132">
        <v>0.06</v>
      </c>
      <c r="AN49" s="132">
        <v>0.06</v>
      </c>
      <c r="AO49" s="132">
        <v>0.06</v>
      </c>
      <c r="AP49" s="132">
        <v>0.06</v>
      </c>
      <c r="AQ49" s="132">
        <v>0.06</v>
      </c>
      <c r="AR49" s="132">
        <v>0.06</v>
      </c>
      <c r="AS49" s="14" t="s">
        <v>2</v>
      </c>
      <c r="AT49" s="132">
        <v>0.06</v>
      </c>
      <c r="AU49" s="132">
        <v>0.06</v>
      </c>
      <c r="AV49" s="132">
        <v>0.06</v>
      </c>
      <c r="AW49" s="132">
        <v>0.06</v>
      </c>
      <c r="AX49" s="132">
        <v>0.06</v>
      </c>
      <c r="AY49" s="132">
        <v>0.06</v>
      </c>
      <c r="AZ49" s="132">
        <v>0.06</v>
      </c>
      <c r="BA49" s="132">
        <v>0.06</v>
      </c>
      <c r="BB49" s="132">
        <v>0.06</v>
      </c>
      <c r="BC49" s="132">
        <v>0.06</v>
      </c>
      <c r="BD49" s="132">
        <v>0.06</v>
      </c>
      <c r="BE49" s="132">
        <v>0.06</v>
      </c>
      <c r="BF49" s="132">
        <v>0.06</v>
      </c>
      <c r="BG49" s="132">
        <v>0.06</v>
      </c>
      <c r="BH49" s="132">
        <v>0.06</v>
      </c>
      <c r="BI49" s="132">
        <v>0.06</v>
      </c>
      <c r="BJ49" s="132">
        <v>0.06</v>
      </c>
      <c r="BK49" s="132">
        <v>0.06</v>
      </c>
      <c r="BL49" s="132">
        <v>0.06</v>
      </c>
      <c r="BM49" s="132">
        <v>0.06</v>
      </c>
      <c r="BN49" s="132">
        <v>0.06</v>
      </c>
      <c r="BO49" s="132">
        <v>0.06</v>
      </c>
      <c r="BP49" s="132">
        <v>0.06</v>
      </c>
      <c r="BQ49" s="132">
        <v>0.06</v>
      </c>
      <c r="BR49" s="132">
        <v>0.06</v>
      </c>
      <c r="BS49" s="132">
        <v>0.06</v>
      </c>
      <c r="BT49" s="132">
        <v>0.06</v>
      </c>
      <c r="BU49" s="132">
        <v>0.06</v>
      </c>
      <c r="BV49" s="132">
        <v>0.06</v>
      </c>
      <c r="BW49" s="132">
        <v>0.06</v>
      </c>
      <c r="BX49" s="132">
        <v>0.06</v>
      </c>
      <c r="BY49" s="132">
        <v>0.06</v>
      </c>
      <c r="BZ49" s="132">
        <v>0.06</v>
      </c>
      <c r="CA49" s="132">
        <v>0.06</v>
      </c>
      <c r="CB49" s="132">
        <v>0.06</v>
      </c>
      <c r="CC49" s="132">
        <v>0.06</v>
      </c>
      <c r="CD49" s="132">
        <v>0.06</v>
      </c>
      <c r="CE49" s="132">
        <v>0.06</v>
      </c>
      <c r="CF49" s="132">
        <v>0.06</v>
      </c>
      <c r="CG49" s="132">
        <v>0.06</v>
      </c>
      <c r="CH49" s="132">
        <v>0.06</v>
      </c>
      <c r="CI49" s="132">
        <v>0.06</v>
      </c>
      <c r="CJ49" s="132">
        <v>0.06</v>
      </c>
      <c r="CK49" s="132">
        <v>0.06</v>
      </c>
      <c r="CL49" s="132">
        <v>0.06</v>
      </c>
      <c r="CM49" s="132">
        <v>0.06</v>
      </c>
      <c r="CN49" s="132">
        <v>0.06</v>
      </c>
      <c r="CO49" s="132">
        <v>0.06</v>
      </c>
      <c r="CP49" s="132">
        <v>0.06</v>
      </c>
      <c r="CQ49" s="132">
        <v>0.06</v>
      </c>
      <c r="CR49" s="132">
        <v>0.06</v>
      </c>
      <c r="CS49" s="132">
        <v>0.06</v>
      </c>
      <c r="CT49" s="132">
        <v>0.06</v>
      </c>
      <c r="CU49" s="132">
        <v>0.06</v>
      </c>
      <c r="CV49" s="132">
        <v>0.06</v>
      </c>
      <c r="CW49" s="132">
        <v>0.06</v>
      </c>
      <c r="CX49" s="132">
        <v>0.06</v>
      </c>
      <c r="CY49" s="132">
        <v>0.06</v>
      </c>
      <c r="CZ49" s="132">
        <v>0.06</v>
      </c>
      <c r="DA49" s="132">
        <v>0.06</v>
      </c>
      <c r="DB49" s="14" t="s">
        <v>2</v>
      </c>
      <c r="DC49" s="132">
        <v>0.06</v>
      </c>
      <c r="DD49" s="132">
        <v>0.06</v>
      </c>
      <c r="DE49" s="132">
        <v>0.06</v>
      </c>
      <c r="DF49" s="132">
        <v>0.06</v>
      </c>
      <c r="DG49" s="132">
        <v>0.06</v>
      </c>
      <c r="DH49" s="132">
        <v>0.06</v>
      </c>
      <c r="DI49" s="132">
        <v>0.06</v>
      </c>
      <c r="DJ49" s="132">
        <v>0.06</v>
      </c>
      <c r="DK49" s="132">
        <v>0.06</v>
      </c>
      <c r="DL49" s="132">
        <v>0.06</v>
      </c>
      <c r="DM49" s="132">
        <v>0.06</v>
      </c>
      <c r="DN49" s="132">
        <v>0.06</v>
      </c>
      <c r="DO49" s="132">
        <v>0.06</v>
      </c>
      <c r="DP49" s="132">
        <v>0.06</v>
      </c>
      <c r="DQ49" s="132">
        <v>0.06</v>
      </c>
      <c r="DR49" s="132">
        <v>0.06</v>
      </c>
      <c r="DS49" s="132">
        <v>0.06</v>
      </c>
      <c r="DT49" s="132">
        <v>0.06</v>
      </c>
      <c r="DU49" s="14" t="s">
        <v>2</v>
      </c>
      <c r="DV49" s="14" t="s">
        <v>2</v>
      </c>
      <c r="DW49" s="132">
        <v>0.06</v>
      </c>
      <c r="DX49" s="132">
        <v>0.06</v>
      </c>
      <c r="DY49" s="132">
        <v>0.06</v>
      </c>
      <c r="DZ49" s="132">
        <v>0.06</v>
      </c>
    </row>
    <row r="50" spans="1:130" x14ac:dyDescent="0.25">
      <c r="A50" s="11" t="s">
        <v>51</v>
      </c>
      <c r="B50" t="s">
        <v>2</v>
      </c>
      <c r="C50" s="49" t="s">
        <v>2</v>
      </c>
      <c r="D50" s="16" t="s">
        <v>2</v>
      </c>
      <c r="E50" s="16" t="s">
        <v>2</v>
      </c>
      <c r="F50" s="16" t="s">
        <v>2</v>
      </c>
      <c r="G50" s="16" t="s">
        <v>2</v>
      </c>
      <c r="H50" s="16" t="s">
        <v>2</v>
      </c>
      <c r="I50" s="16" t="s">
        <v>2</v>
      </c>
      <c r="J50" s="57">
        <v>46245</v>
      </c>
      <c r="K50" s="57">
        <v>45980</v>
      </c>
      <c r="L50" s="57">
        <v>45491</v>
      </c>
      <c r="M50" s="55">
        <v>45181</v>
      </c>
      <c r="N50" s="164"/>
      <c r="O50" s="335"/>
      <c r="P50" s="14" t="s">
        <v>2</v>
      </c>
      <c r="Q50" s="14" t="s">
        <v>2</v>
      </c>
      <c r="R50" s="14" t="s">
        <v>2</v>
      </c>
      <c r="S50" s="14" t="s">
        <v>2</v>
      </c>
      <c r="T50" s="14" t="s">
        <v>2</v>
      </c>
      <c r="U50" s="14" t="s">
        <v>2</v>
      </c>
      <c r="V50" s="14" t="s">
        <v>2</v>
      </c>
      <c r="W50" s="14" t="s">
        <v>2</v>
      </c>
      <c r="X50" s="14" t="s">
        <v>2</v>
      </c>
      <c r="Y50" s="14" t="s">
        <v>2</v>
      </c>
      <c r="Z50" s="132">
        <v>0.06</v>
      </c>
      <c r="AA50" s="132">
        <v>0.06</v>
      </c>
      <c r="AB50" s="132">
        <v>0.06</v>
      </c>
      <c r="AC50" s="132">
        <v>0.06</v>
      </c>
      <c r="AD50" s="132">
        <v>0.06</v>
      </c>
      <c r="AE50" s="132">
        <v>0.06</v>
      </c>
      <c r="AF50" s="132">
        <v>0.06</v>
      </c>
      <c r="AG50" s="132">
        <v>0.06</v>
      </c>
      <c r="AH50" s="14" t="s">
        <v>2</v>
      </c>
      <c r="AI50" s="132">
        <v>0.06</v>
      </c>
      <c r="AJ50" s="132">
        <v>0.06</v>
      </c>
      <c r="AK50" s="132">
        <v>0.06</v>
      </c>
      <c r="AL50" s="14" t="s">
        <v>2</v>
      </c>
      <c r="AM50" s="132">
        <v>0.06</v>
      </c>
      <c r="AN50" s="132">
        <v>0.06</v>
      </c>
      <c r="AO50" s="132">
        <v>0.06</v>
      </c>
      <c r="AP50" s="132">
        <v>0.06</v>
      </c>
      <c r="AQ50" s="132">
        <v>0.06</v>
      </c>
      <c r="AR50" s="132">
        <v>0.06</v>
      </c>
      <c r="AS50" s="14" t="s">
        <v>2</v>
      </c>
      <c r="AT50" s="132">
        <v>0.06</v>
      </c>
      <c r="AU50" s="132">
        <v>0.06</v>
      </c>
      <c r="AV50" s="132">
        <v>0.06</v>
      </c>
      <c r="AW50" s="132">
        <v>0.06</v>
      </c>
      <c r="AX50" s="132">
        <v>0.06</v>
      </c>
      <c r="AY50" s="132">
        <v>0.06</v>
      </c>
      <c r="AZ50" s="132">
        <v>0.06</v>
      </c>
      <c r="BA50" s="132">
        <v>0.06</v>
      </c>
      <c r="BB50" s="132">
        <v>0.06</v>
      </c>
      <c r="BC50" s="132">
        <v>0.06</v>
      </c>
      <c r="BD50" s="132">
        <v>0.06</v>
      </c>
      <c r="BE50" s="132">
        <v>0.06</v>
      </c>
      <c r="BF50" s="132">
        <v>0.06</v>
      </c>
      <c r="BG50" s="132">
        <v>0.06</v>
      </c>
      <c r="BH50" s="132">
        <v>0.06</v>
      </c>
      <c r="BI50" s="132">
        <v>0.06</v>
      </c>
      <c r="BJ50" s="132">
        <v>0.06</v>
      </c>
      <c r="BK50" s="132">
        <v>0.06</v>
      </c>
      <c r="BL50" s="132">
        <v>0.06</v>
      </c>
      <c r="BM50" s="132">
        <v>0.06</v>
      </c>
      <c r="BN50" s="132">
        <v>0.06</v>
      </c>
      <c r="BO50" s="132">
        <v>0.06</v>
      </c>
      <c r="BP50" s="132">
        <v>0.06</v>
      </c>
      <c r="BQ50" s="132">
        <v>0.06</v>
      </c>
      <c r="BR50" s="132">
        <v>0.06</v>
      </c>
      <c r="BS50" s="132">
        <v>0.06</v>
      </c>
      <c r="BT50" s="132">
        <v>0.06</v>
      </c>
      <c r="BU50" s="132">
        <v>0.06</v>
      </c>
      <c r="BV50" s="132">
        <v>0.06</v>
      </c>
      <c r="BW50" s="132">
        <v>0.06</v>
      </c>
      <c r="BX50" s="132">
        <v>0.06</v>
      </c>
      <c r="BY50" s="132">
        <v>0.06</v>
      </c>
      <c r="BZ50" s="132">
        <v>0.06</v>
      </c>
      <c r="CA50" s="132">
        <v>0.06</v>
      </c>
      <c r="CB50" s="132">
        <v>0.06</v>
      </c>
      <c r="CC50" s="132">
        <v>0.06</v>
      </c>
      <c r="CD50" s="132">
        <v>0.06</v>
      </c>
      <c r="CE50" s="132">
        <v>0.06</v>
      </c>
      <c r="CF50" s="132">
        <v>0.06</v>
      </c>
      <c r="CG50" s="132">
        <v>0.06</v>
      </c>
      <c r="CH50" s="132">
        <v>0.06</v>
      </c>
      <c r="CI50" s="132">
        <v>0.06</v>
      </c>
      <c r="CJ50" s="14" t="s">
        <v>2</v>
      </c>
      <c r="CK50" s="14" t="s">
        <v>2</v>
      </c>
      <c r="CL50" s="132">
        <v>0.06</v>
      </c>
      <c r="CM50" s="132">
        <v>0.06</v>
      </c>
      <c r="CN50" s="132">
        <v>0.06</v>
      </c>
      <c r="CO50" s="132">
        <v>0.06</v>
      </c>
      <c r="CP50" s="132">
        <v>0.06</v>
      </c>
      <c r="CQ50" s="132">
        <v>0.06</v>
      </c>
      <c r="CR50" s="132">
        <v>0.06</v>
      </c>
      <c r="CS50" s="132">
        <v>0.06</v>
      </c>
      <c r="CT50" s="132">
        <v>0.06</v>
      </c>
      <c r="CU50" s="132">
        <v>0.06</v>
      </c>
      <c r="CV50" s="132">
        <v>0.06</v>
      </c>
      <c r="CW50" s="132">
        <v>0.06</v>
      </c>
      <c r="CX50" s="132">
        <v>0.06</v>
      </c>
      <c r="CY50" s="132">
        <v>0.06</v>
      </c>
      <c r="CZ50" s="132">
        <v>0.06</v>
      </c>
      <c r="DA50" s="132">
        <v>0.06</v>
      </c>
      <c r="DB50" s="14" t="s">
        <v>2</v>
      </c>
      <c r="DC50" s="132">
        <v>0.06</v>
      </c>
      <c r="DD50" s="132">
        <v>0.06</v>
      </c>
      <c r="DE50" s="132">
        <v>0.06</v>
      </c>
      <c r="DF50" s="132">
        <v>0.06</v>
      </c>
      <c r="DG50" s="132">
        <v>0.06</v>
      </c>
      <c r="DH50" s="132">
        <v>0.06</v>
      </c>
      <c r="DI50" s="132">
        <v>0.06</v>
      </c>
      <c r="DJ50" s="132">
        <v>0.06</v>
      </c>
      <c r="DK50" s="132">
        <v>0.06</v>
      </c>
      <c r="DL50" s="132">
        <v>0.06</v>
      </c>
      <c r="DM50" s="132">
        <v>0.06</v>
      </c>
      <c r="DN50" s="132">
        <v>0.06</v>
      </c>
      <c r="DO50" s="14" t="s">
        <v>2</v>
      </c>
      <c r="DP50" s="14" t="s">
        <v>2</v>
      </c>
      <c r="DQ50" s="132">
        <v>0.06</v>
      </c>
      <c r="DR50" s="132">
        <v>0.06</v>
      </c>
      <c r="DS50" s="132">
        <v>0.06</v>
      </c>
      <c r="DT50" s="132">
        <v>0.06</v>
      </c>
      <c r="DU50" s="14" t="s">
        <v>2</v>
      </c>
      <c r="DV50" s="14" t="s">
        <v>2</v>
      </c>
      <c r="DW50" s="132">
        <v>0.06</v>
      </c>
      <c r="DX50" s="132">
        <v>0.06</v>
      </c>
      <c r="DY50" s="132">
        <v>0.06</v>
      </c>
      <c r="DZ50" s="132">
        <v>0.06</v>
      </c>
    </row>
    <row r="51" spans="1:130" x14ac:dyDescent="0.25">
      <c r="A51" s="11" t="s">
        <v>52</v>
      </c>
      <c r="B51" t="s">
        <v>2</v>
      </c>
      <c r="C51" s="49" t="s">
        <v>2</v>
      </c>
      <c r="D51" s="16" t="s">
        <v>2</v>
      </c>
      <c r="E51" s="16" t="s">
        <v>2</v>
      </c>
      <c r="F51" s="16" t="s">
        <v>2</v>
      </c>
      <c r="G51" s="16" t="s">
        <v>2</v>
      </c>
      <c r="H51" s="16" t="s">
        <v>2</v>
      </c>
      <c r="I51" s="16" t="s">
        <v>2</v>
      </c>
      <c r="J51" s="57">
        <v>46246</v>
      </c>
      <c r="K51" s="57">
        <v>45981</v>
      </c>
      <c r="L51" s="57">
        <v>45484</v>
      </c>
      <c r="M51" s="55">
        <v>45182</v>
      </c>
      <c r="N51" s="164"/>
      <c r="O51" s="335"/>
      <c r="P51" s="14" t="s">
        <v>2</v>
      </c>
      <c r="Q51" s="14" t="s">
        <v>2</v>
      </c>
      <c r="R51" s="14" t="s">
        <v>2</v>
      </c>
      <c r="S51" s="14" t="s">
        <v>2</v>
      </c>
      <c r="T51" s="14" t="s">
        <v>2</v>
      </c>
      <c r="U51" s="14" t="s">
        <v>2</v>
      </c>
      <c r="V51" s="14" t="s">
        <v>2</v>
      </c>
      <c r="W51" s="14" t="s">
        <v>2</v>
      </c>
      <c r="X51" s="14" t="s">
        <v>2</v>
      </c>
      <c r="Y51" s="14" t="s">
        <v>2</v>
      </c>
      <c r="Z51" s="132">
        <v>0.06</v>
      </c>
      <c r="AA51" s="132">
        <v>0.06</v>
      </c>
      <c r="AB51" s="132">
        <v>0.06</v>
      </c>
      <c r="AC51" s="132">
        <v>0.06</v>
      </c>
      <c r="AD51" s="132">
        <v>0.06</v>
      </c>
      <c r="AE51" s="132">
        <v>0.06</v>
      </c>
      <c r="AF51" s="132">
        <v>0.06</v>
      </c>
      <c r="AG51" s="132">
        <v>0.06</v>
      </c>
      <c r="AH51" s="14" t="s">
        <v>2</v>
      </c>
      <c r="AI51" s="132">
        <v>0.06</v>
      </c>
      <c r="AJ51" s="132">
        <v>0.06</v>
      </c>
      <c r="AK51" s="132">
        <v>0.06</v>
      </c>
      <c r="AL51" s="14" t="s">
        <v>2</v>
      </c>
      <c r="AM51" s="132">
        <v>0.06</v>
      </c>
      <c r="AN51" s="132">
        <v>0.06</v>
      </c>
      <c r="AO51" s="132">
        <v>0.06</v>
      </c>
      <c r="AP51" s="132">
        <v>0.06</v>
      </c>
      <c r="AQ51" s="132">
        <v>0.06</v>
      </c>
      <c r="AR51" s="132">
        <v>0.06</v>
      </c>
      <c r="AS51" s="14" t="s">
        <v>2</v>
      </c>
      <c r="AT51" s="132">
        <v>0.06</v>
      </c>
      <c r="AU51" s="132">
        <v>0.06</v>
      </c>
      <c r="AV51" s="132">
        <v>0.06</v>
      </c>
      <c r="AW51" s="132">
        <v>0.06</v>
      </c>
      <c r="AX51" s="132">
        <v>0.06</v>
      </c>
      <c r="AY51" s="132">
        <v>0.06</v>
      </c>
      <c r="AZ51" s="132">
        <v>0.06</v>
      </c>
      <c r="BA51" s="132">
        <v>0.06</v>
      </c>
      <c r="BB51" s="132">
        <v>0.06</v>
      </c>
      <c r="BC51" s="132">
        <v>0.06</v>
      </c>
      <c r="BD51" s="132">
        <v>0.06</v>
      </c>
      <c r="BE51" s="132">
        <v>0.06</v>
      </c>
      <c r="BF51" s="132">
        <v>0.06</v>
      </c>
      <c r="BG51" s="132">
        <v>0.06</v>
      </c>
      <c r="BH51" s="132">
        <v>0.06</v>
      </c>
      <c r="BI51" s="132">
        <v>0.06</v>
      </c>
      <c r="BJ51" s="132">
        <v>0.06</v>
      </c>
      <c r="BK51" s="132">
        <v>0.06</v>
      </c>
      <c r="BL51" s="132">
        <v>0.06</v>
      </c>
      <c r="BM51" s="132">
        <v>0.06</v>
      </c>
      <c r="BN51" s="132">
        <v>0.06</v>
      </c>
      <c r="BO51" s="132">
        <v>0.06</v>
      </c>
      <c r="BP51" s="132">
        <v>0.06</v>
      </c>
      <c r="BQ51" s="132">
        <v>0.06</v>
      </c>
      <c r="BR51" s="132">
        <v>0.06</v>
      </c>
      <c r="BS51" s="132">
        <v>0.06</v>
      </c>
      <c r="BT51" s="132">
        <v>0.06</v>
      </c>
      <c r="BU51" s="132">
        <v>0.06</v>
      </c>
      <c r="BV51" s="132">
        <v>0.06</v>
      </c>
      <c r="BW51" s="132">
        <v>0.06</v>
      </c>
      <c r="BX51" s="132">
        <v>0.06</v>
      </c>
      <c r="BY51" s="132">
        <v>0.06</v>
      </c>
      <c r="BZ51" s="132">
        <v>0.06</v>
      </c>
      <c r="CA51" s="132">
        <v>0.06</v>
      </c>
      <c r="CB51" s="132">
        <v>0.06</v>
      </c>
      <c r="CC51" s="132">
        <v>0.06</v>
      </c>
      <c r="CD51" s="132">
        <v>0.06</v>
      </c>
      <c r="CE51" s="132">
        <v>0.06</v>
      </c>
      <c r="CF51" s="132">
        <v>0.06</v>
      </c>
      <c r="CG51" s="132">
        <v>0.06</v>
      </c>
      <c r="CH51" s="132">
        <v>0.06</v>
      </c>
      <c r="CI51" s="132">
        <v>0.06</v>
      </c>
      <c r="CJ51" s="14" t="s">
        <v>2</v>
      </c>
      <c r="CK51" s="14" t="s">
        <v>2</v>
      </c>
      <c r="CL51" s="132">
        <v>0.06</v>
      </c>
      <c r="CM51" s="132">
        <v>0.06</v>
      </c>
      <c r="CN51" s="132">
        <v>0.06</v>
      </c>
      <c r="CO51" s="132">
        <v>0.06</v>
      </c>
      <c r="CP51" s="132">
        <v>0.06</v>
      </c>
      <c r="CQ51" s="132">
        <v>0.06</v>
      </c>
      <c r="CR51" s="132">
        <v>0.06</v>
      </c>
      <c r="CS51" s="132">
        <v>0.06</v>
      </c>
      <c r="CT51" s="132">
        <v>0.06</v>
      </c>
      <c r="CU51" s="132">
        <v>0.06</v>
      </c>
      <c r="CV51" s="132">
        <v>0.06</v>
      </c>
      <c r="CW51" s="132">
        <v>0.06</v>
      </c>
      <c r="CX51" s="132">
        <v>0.06</v>
      </c>
      <c r="CY51" s="132">
        <v>0.06</v>
      </c>
      <c r="CZ51" s="132">
        <v>0.06</v>
      </c>
      <c r="DA51" s="132">
        <v>0.06</v>
      </c>
      <c r="DB51" s="14" t="s">
        <v>2</v>
      </c>
      <c r="DC51" s="132">
        <v>0.06</v>
      </c>
      <c r="DD51" s="132">
        <v>0.06</v>
      </c>
      <c r="DE51" s="132">
        <v>0.06</v>
      </c>
      <c r="DF51" s="132">
        <v>0.06</v>
      </c>
      <c r="DG51" s="132">
        <v>0.06</v>
      </c>
      <c r="DH51" s="132">
        <v>0.06</v>
      </c>
      <c r="DI51" s="132">
        <v>0.06</v>
      </c>
      <c r="DJ51" s="132">
        <v>0.06</v>
      </c>
      <c r="DK51" s="132">
        <v>0.06</v>
      </c>
      <c r="DL51" s="132">
        <v>0.06</v>
      </c>
      <c r="DM51" s="132">
        <v>0.06</v>
      </c>
      <c r="DN51" s="132">
        <v>0.06</v>
      </c>
      <c r="DO51" s="14" t="s">
        <v>2</v>
      </c>
      <c r="DP51" s="14" t="s">
        <v>2</v>
      </c>
      <c r="DQ51" s="132">
        <v>0.06</v>
      </c>
      <c r="DR51" s="132">
        <v>0.06</v>
      </c>
      <c r="DS51" s="132">
        <v>0.06</v>
      </c>
      <c r="DT51" s="132">
        <v>0.06</v>
      </c>
      <c r="DU51" s="14" t="s">
        <v>2</v>
      </c>
      <c r="DV51" s="14" t="s">
        <v>2</v>
      </c>
      <c r="DW51" s="132">
        <v>0.06</v>
      </c>
      <c r="DX51" s="132">
        <v>0.06</v>
      </c>
      <c r="DY51" s="132">
        <v>0.06</v>
      </c>
      <c r="DZ51" s="132">
        <v>0.06</v>
      </c>
    </row>
    <row r="52" spans="1:130" x14ac:dyDescent="0.25">
      <c r="A52" s="11" t="s">
        <v>53</v>
      </c>
      <c r="B52" t="s">
        <v>2</v>
      </c>
      <c r="C52" s="49" t="s">
        <v>2</v>
      </c>
      <c r="D52" s="16" t="s">
        <v>2</v>
      </c>
      <c r="E52" s="16" t="s">
        <v>2</v>
      </c>
      <c r="F52" s="16" t="s">
        <v>2</v>
      </c>
      <c r="G52" s="16" t="s">
        <v>2</v>
      </c>
      <c r="H52" s="16" t="s">
        <v>2</v>
      </c>
      <c r="I52" s="16" t="s">
        <v>2</v>
      </c>
      <c r="J52" s="57">
        <v>46247</v>
      </c>
      <c r="K52" s="57">
        <v>45959</v>
      </c>
      <c r="L52" s="57">
        <v>45636</v>
      </c>
      <c r="M52" s="55">
        <v>45183</v>
      </c>
      <c r="N52" s="164"/>
      <c r="O52" s="335"/>
      <c r="P52" s="14" t="s">
        <v>2</v>
      </c>
      <c r="Q52" s="14" t="s">
        <v>2</v>
      </c>
      <c r="R52" s="14" t="s">
        <v>2</v>
      </c>
      <c r="S52" s="14" t="s">
        <v>2</v>
      </c>
      <c r="T52" s="14" t="s">
        <v>2</v>
      </c>
      <c r="U52" s="14" t="s">
        <v>2</v>
      </c>
      <c r="V52" s="14" t="s">
        <v>2</v>
      </c>
      <c r="W52" s="14" t="s">
        <v>2</v>
      </c>
      <c r="X52" s="14" t="s">
        <v>2</v>
      </c>
      <c r="Y52" s="14" t="s">
        <v>2</v>
      </c>
      <c r="Z52" s="132">
        <v>0.06</v>
      </c>
      <c r="AA52" s="132">
        <v>0.06</v>
      </c>
      <c r="AB52" s="132">
        <v>0.06</v>
      </c>
      <c r="AC52" s="132">
        <v>0.06</v>
      </c>
      <c r="AD52" s="132">
        <v>0.06</v>
      </c>
      <c r="AE52" s="132">
        <v>0.06</v>
      </c>
      <c r="AF52" s="132">
        <v>0.06</v>
      </c>
      <c r="AG52" s="132">
        <v>0.06</v>
      </c>
      <c r="AH52" s="14" t="s">
        <v>2</v>
      </c>
      <c r="AI52" s="132">
        <v>0.06</v>
      </c>
      <c r="AJ52" s="132">
        <v>0.06</v>
      </c>
      <c r="AK52" s="132">
        <v>0.06</v>
      </c>
      <c r="AL52" s="14" t="s">
        <v>2</v>
      </c>
      <c r="AM52" s="132">
        <v>0.06</v>
      </c>
      <c r="AN52" s="132">
        <v>0.06</v>
      </c>
      <c r="AO52" s="132">
        <v>0.06</v>
      </c>
      <c r="AP52" s="132">
        <v>0.06</v>
      </c>
      <c r="AQ52" s="132">
        <v>0.06</v>
      </c>
      <c r="AR52" s="132">
        <v>0.06</v>
      </c>
      <c r="AS52" s="14" t="s">
        <v>2</v>
      </c>
      <c r="AT52" s="132">
        <v>0.06</v>
      </c>
      <c r="AU52" s="132">
        <v>0.06</v>
      </c>
      <c r="AV52" s="132">
        <v>0.06</v>
      </c>
      <c r="AW52" s="132">
        <v>0.06</v>
      </c>
      <c r="AX52" s="132">
        <v>0.06</v>
      </c>
      <c r="AY52" s="132">
        <v>0.06</v>
      </c>
      <c r="AZ52" s="132">
        <v>0.06</v>
      </c>
      <c r="BA52" s="132">
        <v>0.06</v>
      </c>
      <c r="BB52" s="132">
        <v>0.06</v>
      </c>
      <c r="BC52" s="132">
        <v>0.06</v>
      </c>
      <c r="BD52" s="132">
        <v>0.06</v>
      </c>
      <c r="BE52" s="132">
        <v>0.06</v>
      </c>
      <c r="BF52" s="132">
        <v>0.06</v>
      </c>
      <c r="BG52" s="132">
        <v>0.06</v>
      </c>
      <c r="BH52" s="132">
        <v>0.06</v>
      </c>
      <c r="BI52" s="132">
        <v>0.06</v>
      </c>
      <c r="BJ52" s="132">
        <v>0.06</v>
      </c>
      <c r="BK52" s="132">
        <v>0.06</v>
      </c>
      <c r="BL52" s="132">
        <v>0.06</v>
      </c>
      <c r="BM52" s="132">
        <v>0.06</v>
      </c>
      <c r="BN52" s="132">
        <v>0.06</v>
      </c>
      <c r="BO52" s="132">
        <v>0.06</v>
      </c>
      <c r="BP52" s="132">
        <v>0.06</v>
      </c>
      <c r="BQ52" s="132">
        <v>0.06</v>
      </c>
      <c r="BR52" s="132">
        <v>0.06</v>
      </c>
      <c r="BS52" s="132">
        <v>0.06</v>
      </c>
      <c r="BT52" s="132">
        <v>0.06</v>
      </c>
      <c r="BU52" s="132">
        <v>0.06</v>
      </c>
      <c r="BV52" s="132">
        <v>0.06</v>
      </c>
      <c r="BW52" s="132">
        <v>0.06</v>
      </c>
      <c r="BX52" s="132">
        <v>0.06</v>
      </c>
      <c r="BY52" s="132">
        <v>0.06</v>
      </c>
      <c r="BZ52" s="132">
        <v>0.06</v>
      </c>
      <c r="CA52" s="132">
        <v>0.06</v>
      </c>
      <c r="CB52" s="132">
        <v>0.06</v>
      </c>
      <c r="CC52" s="132">
        <v>0.06</v>
      </c>
      <c r="CD52" s="132">
        <v>0.06</v>
      </c>
      <c r="CE52" s="132">
        <v>0.06</v>
      </c>
      <c r="CF52" s="132">
        <v>0.06</v>
      </c>
      <c r="CG52" s="132">
        <v>0.06</v>
      </c>
      <c r="CH52" s="132">
        <v>0.06</v>
      </c>
      <c r="CI52" s="132">
        <v>0.06</v>
      </c>
      <c r="CJ52" s="14" t="s">
        <v>2</v>
      </c>
      <c r="CK52" s="14" t="s">
        <v>2</v>
      </c>
      <c r="CL52" s="132">
        <v>0.06</v>
      </c>
      <c r="CM52" s="132">
        <v>0.06</v>
      </c>
      <c r="CN52" s="132">
        <v>0.06</v>
      </c>
      <c r="CO52" s="132">
        <v>0.06</v>
      </c>
      <c r="CP52" s="132">
        <v>0.06</v>
      </c>
      <c r="CQ52" s="132">
        <v>0.06</v>
      </c>
      <c r="CR52" s="132">
        <v>0.06</v>
      </c>
      <c r="CS52" s="132">
        <v>0.06</v>
      </c>
      <c r="CT52" s="132">
        <v>0.06</v>
      </c>
      <c r="CU52" s="132">
        <v>0.06</v>
      </c>
      <c r="CV52" s="14" t="s">
        <v>2</v>
      </c>
      <c r="CW52" s="14" t="s">
        <v>2</v>
      </c>
      <c r="CX52" s="132">
        <v>0.06</v>
      </c>
      <c r="CY52" s="132">
        <v>0.06</v>
      </c>
      <c r="CZ52" s="132">
        <v>0.06</v>
      </c>
      <c r="DA52" s="132">
        <v>0.06</v>
      </c>
      <c r="DB52" s="14" t="s">
        <v>2</v>
      </c>
      <c r="DC52" s="132">
        <v>0.06</v>
      </c>
      <c r="DD52" s="132">
        <v>0.06</v>
      </c>
      <c r="DE52" s="14" t="s">
        <v>2</v>
      </c>
      <c r="DF52" s="14" t="s">
        <v>2</v>
      </c>
      <c r="DG52" s="132">
        <v>0.06</v>
      </c>
      <c r="DH52" s="132">
        <v>0.06</v>
      </c>
      <c r="DI52" s="132">
        <v>0.06</v>
      </c>
      <c r="DJ52" s="132">
        <v>0.06</v>
      </c>
      <c r="DK52" s="132">
        <v>0.06</v>
      </c>
      <c r="DL52" s="132">
        <v>0.06</v>
      </c>
      <c r="DM52" s="132">
        <v>0.06</v>
      </c>
      <c r="DN52" s="132">
        <v>0.06</v>
      </c>
      <c r="DO52" s="14" t="s">
        <v>2</v>
      </c>
      <c r="DP52" s="14" t="s">
        <v>2</v>
      </c>
      <c r="DQ52" s="132">
        <v>0.06</v>
      </c>
      <c r="DR52" s="132">
        <v>0.06</v>
      </c>
      <c r="DS52" s="132">
        <v>0.06</v>
      </c>
      <c r="DT52" s="132">
        <v>0.06</v>
      </c>
      <c r="DU52" s="14" t="s">
        <v>2</v>
      </c>
      <c r="DV52" s="14" t="s">
        <v>2</v>
      </c>
      <c r="DW52" s="132">
        <v>0.06</v>
      </c>
      <c r="DX52" s="132">
        <v>0.06</v>
      </c>
      <c r="DY52" s="132">
        <v>0.06</v>
      </c>
      <c r="DZ52" s="132">
        <v>0.06</v>
      </c>
    </row>
    <row r="53" spans="1:130" x14ac:dyDescent="0.25">
      <c r="A53" s="11" t="s">
        <v>54</v>
      </c>
      <c r="B53" t="s">
        <v>2</v>
      </c>
      <c r="C53" s="49" t="s">
        <v>2</v>
      </c>
      <c r="D53" s="16" t="s">
        <v>2</v>
      </c>
      <c r="E53" s="16" t="s">
        <v>2</v>
      </c>
      <c r="F53" s="16" t="s">
        <v>2</v>
      </c>
      <c r="G53" s="16" t="s">
        <v>2</v>
      </c>
      <c r="H53" s="16" t="s">
        <v>2</v>
      </c>
      <c r="I53" s="16" t="s">
        <v>2</v>
      </c>
      <c r="J53" s="243" t="s">
        <v>419</v>
      </c>
      <c r="K53" s="57">
        <v>45957</v>
      </c>
      <c r="L53" s="57">
        <v>45547</v>
      </c>
      <c r="M53" s="165">
        <v>45274</v>
      </c>
      <c r="N53" s="164"/>
      <c r="O53" s="335"/>
      <c r="P53" s="14"/>
      <c r="Q53" s="14"/>
      <c r="R53" s="14"/>
      <c r="S53" s="14"/>
      <c r="T53" s="14"/>
      <c r="U53" s="14"/>
      <c r="V53" s="14"/>
      <c r="W53" s="14"/>
      <c r="X53" s="14"/>
      <c r="Y53" s="14"/>
      <c r="Z53" s="132">
        <v>0.06</v>
      </c>
      <c r="AA53" s="132">
        <v>0.06</v>
      </c>
      <c r="AB53" s="132">
        <v>0.06</v>
      </c>
      <c r="AC53" s="132">
        <v>0.06</v>
      </c>
      <c r="AD53" s="132">
        <v>0.06</v>
      </c>
      <c r="AE53" s="132">
        <v>0.06</v>
      </c>
      <c r="AF53" s="132">
        <v>0.06</v>
      </c>
      <c r="AG53" s="132">
        <v>0.06</v>
      </c>
      <c r="AH53" s="14" t="s">
        <v>2</v>
      </c>
      <c r="AI53" s="132">
        <v>0.06</v>
      </c>
      <c r="AJ53" s="14" t="s">
        <v>2</v>
      </c>
      <c r="AK53" s="14" t="s">
        <v>2</v>
      </c>
      <c r="AL53" s="14" t="s">
        <v>2</v>
      </c>
      <c r="AM53" s="132">
        <v>0.06</v>
      </c>
      <c r="AN53" s="132">
        <v>0.06</v>
      </c>
      <c r="AO53" s="132">
        <v>0.06</v>
      </c>
      <c r="AP53" s="132">
        <v>0.06</v>
      </c>
      <c r="AQ53" s="132">
        <v>0.06</v>
      </c>
      <c r="AR53" s="132">
        <v>0.06</v>
      </c>
      <c r="AS53" s="14" t="s">
        <v>2</v>
      </c>
      <c r="AT53" s="132">
        <v>0.06</v>
      </c>
      <c r="AU53" s="132">
        <v>0.06</v>
      </c>
      <c r="AV53" s="132">
        <v>0.06</v>
      </c>
      <c r="AW53" s="132">
        <v>0.06</v>
      </c>
      <c r="AX53" s="132">
        <v>0.06</v>
      </c>
      <c r="AY53" s="132">
        <v>0.06</v>
      </c>
      <c r="AZ53" s="132">
        <v>0.06</v>
      </c>
      <c r="BA53" s="132">
        <v>0.06</v>
      </c>
      <c r="BB53" s="132">
        <v>0.06</v>
      </c>
      <c r="BC53" s="132">
        <v>0.06</v>
      </c>
      <c r="BD53" s="14" t="s">
        <v>2</v>
      </c>
      <c r="BE53" s="14" t="s">
        <v>2</v>
      </c>
      <c r="BF53" s="132">
        <v>0.06</v>
      </c>
      <c r="BG53" s="132">
        <v>0.06</v>
      </c>
      <c r="BH53" s="14" t="s">
        <v>2</v>
      </c>
      <c r="BI53" s="14" t="s">
        <v>2</v>
      </c>
      <c r="BJ53" s="14" t="s">
        <v>2</v>
      </c>
      <c r="BK53" s="14" t="s">
        <v>2</v>
      </c>
      <c r="BL53" s="14" t="s">
        <v>2</v>
      </c>
      <c r="BM53" s="14" t="s">
        <v>2</v>
      </c>
      <c r="BN53" s="14" t="s">
        <v>2</v>
      </c>
      <c r="BO53" s="14" t="s">
        <v>2</v>
      </c>
      <c r="BP53" s="14" t="s">
        <v>2</v>
      </c>
      <c r="BQ53" s="14" t="s">
        <v>2</v>
      </c>
      <c r="BR53" s="132">
        <v>0.06</v>
      </c>
      <c r="BS53" s="132">
        <v>0.06</v>
      </c>
      <c r="BT53" s="14" t="s">
        <v>2</v>
      </c>
      <c r="BU53" s="14" t="s">
        <v>2</v>
      </c>
      <c r="BV53" s="132">
        <v>0.06</v>
      </c>
      <c r="BW53" s="132">
        <v>0.06</v>
      </c>
      <c r="BX53" s="14" t="s">
        <v>2</v>
      </c>
      <c r="BY53" s="14" t="s">
        <v>2</v>
      </c>
      <c r="BZ53" s="14" t="s">
        <v>2</v>
      </c>
      <c r="CA53" s="14" t="s">
        <v>2</v>
      </c>
      <c r="CB53" s="132">
        <v>0.06</v>
      </c>
      <c r="CC53" s="132">
        <v>0.06</v>
      </c>
      <c r="CD53" s="132">
        <v>0.06</v>
      </c>
      <c r="CE53" s="132">
        <v>0.06</v>
      </c>
      <c r="CF53" s="132">
        <v>0.06</v>
      </c>
      <c r="CG53" s="132">
        <v>0.06</v>
      </c>
      <c r="CH53" s="132">
        <v>0.06</v>
      </c>
      <c r="CI53" s="132">
        <v>0.06</v>
      </c>
      <c r="CJ53" s="14" t="s">
        <v>2</v>
      </c>
      <c r="CK53" s="14" t="s">
        <v>2</v>
      </c>
      <c r="CL53" s="14" t="s">
        <v>2</v>
      </c>
      <c r="CM53" s="14" t="s">
        <v>2</v>
      </c>
      <c r="CN53" s="14" t="s">
        <v>2</v>
      </c>
      <c r="CO53" s="14" t="s">
        <v>2</v>
      </c>
      <c r="CP53" s="14" t="s">
        <v>2</v>
      </c>
      <c r="CQ53" s="14" t="s">
        <v>2</v>
      </c>
      <c r="CR53" s="14" t="s">
        <v>2</v>
      </c>
      <c r="CS53" s="14" t="s">
        <v>2</v>
      </c>
      <c r="CT53" s="14" t="s">
        <v>2</v>
      </c>
      <c r="CU53" s="14" t="s">
        <v>2</v>
      </c>
      <c r="CV53" s="14" t="s">
        <v>2</v>
      </c>
      <c r="CW53" s="14" t="s">
        <v>2</v>
      </c>
      <c r="CX53" s="14" t="s">
        <v>2</v>
      </c>
      <c r="CY53" s="14" t="s">
        <v>2</v>
      </c>
      <c r="CZ53" s="132">
        <v>0.06</v>
      </c>
      <c r="DA53" s="132">
        <v>0.06</v>
      </c>
      <c r="DB53" s="14" t="s">
        <v>2</v>
      </c>
      <c r="DC53" s="14" t="s">
        <v>2</v>
      </c>
      <c r="DD53" s="14" t="s">
        <v>2</v>
      </c>
      <c r="DE53" s="14" t="s">
        <v>2</v>
      </c>
      <c r="DF53" s="14" t="s">
        <v>2</v>
      </c>
      <c r="DG53" s="132">
        <v>0.06</v>
      </c>
      <c r="DH53" s="132">
        <v>0.06</v>
      </c>
      <c r="DI53" s="132">
        <v>0.06</v>
      </c>
      <c r="DJ53" s="132">
        <v>0.06</v>
      </c>
      <c r="DK53" s="132">
        <v>0.06</v>
      </c>
      <c r="DL53" s="132">
        <v>0.06</v>
      </c>
      <c r="DM53" s="132">
        <v>0.06</v>
      </c>
      <c r="DN53" s="132">
        <v>0.06</v>
      </c>
      <c r="DO53" s="14" t="s">
        <v>2</v>
      </c>
      <c r="DP53" s="14" t="s">
        <v>2</v>
      </c>
      <c r="DQ53" s="14" t="s">
        <v>2</v>
      </c>
      <c r="DR53" s="14" t="s">
        <v>2</v>
      </c>
      <c r="DS53" s="14" t="s">
        <v>2</v>
      </c>
      <c r="DT53" s="14" t="s">
        <v>2</v>
      </c>
      <c r="DU53" s="14" t="s">
        <v>2</v>
      </c>
      <c r="DV53" s="14" t="s">
        <v>2</v>
      </c>
      <c r="DW53" s="14" t="s">
        <v>2</v>
      </c>
      <c r="DX53" s="14" t="s">
        <v>2</v>
      </c>
      <c r="DY53" s="14" t="s">
        <v>2</v>
      </c>
      <c r="DZ53" s="14" t="s">
        <v>2</v>
      </c>
    </row>
    <row r="54" spans="1:130" x14ac:dyDescent="0.25">
      <c r="A54" s="11" t="s">
        <v>55</v>
      </c>
      <c r="B54" t="s">
        <v>2</v>
      </c>
      <c r="C54" s="49" t="s">
        <v>2</v>
      </c>
      <c r="D54" s="16" t="s">
        <v>2</v>
      </c>
      <c r="E54" s="16" t="s">
        <v>2</v>
      </c>
      <c r="F54" s="16" t="s">
        <v>2</v>
      </c>
      <c r="G54" s="16" t="s">
        <v>2</v>
      </c>
      <c r="H54" s="16" t="s">
        <v>2</v>
      </c>
      <c r="I54" s="16" t="s">
        <v>2</v>
      </c>
      <c r="J54" s="243">
        <v>46287</v>
      </c>
      <c r="K54" s="57">
        <v>45706</v>
      </c>
      <c r="L54" s="57">
        <v>45336</v>
      </c>
      <c r="M54" s="55">
        <v>45141</v>
      </c>
      <c r="N54" s="164"/>
      <c r="O54" s="336"/>
      <c r="P54" s="15" t="s">
        <v>2</v>
      </c>
      <c r="Q54" s="15" t="s">
        <v>2</v>
      </c>
      <c r="R54" s="15" t="s">
        <v>2</v>
      </c>
      <c r="S54" s="15" t="s">
        <v>2</v>
      </c>
      <c r="T54" s="15" t="s">
        <v>2</v>
      </c>
      <c r="U54" s="15" t="s">
        <v>2</v>
      </c>
      <c r="V54" s="15" t="s">
        <v>2</v>
      </c>
      <c r="W54" s="15" t="s">
        <v>2</v>
      </c>
      <c r="X54" s="15" t="s">
        <v>2</v>
      </c>
      <c r="Y54" s="15" t="s">
        <v>2</v>
      </c>
      <c r="Z54" s="133">
        <v>0.06</v>
      </c>
      <c r="AA54" s="133">
        <v>0.06</v>
      </c>
      <c r="AB54" s="133">
        <v>0.06</v>
      </c>
      <c r="AC54" s="133">
        <v>0.06</v>
      </c>
      <c r="AD54" s="133">
        <v>0.06</v>
      </c>
      <c r="AE54" s="133">
        <v>0.06</v>
      </c>
      <c r="AF54" s="133">
        <v>0.06</v>
      </c>
      <c r="AG54" s="133">
        <v>0.06</v>
      </c>
      <c r="AH54" s="15" t="s">
        <v>2</v>
      </c>
      <c r="AI54" s="133">
        <v>0.06</v>
      </c>
      <c r="AJ54" s="15" t="s">
        <v>2</v>
      </c>
      <c r="AK54" s="15" t="s">
        <v>2</v>
      </c>
      <c r="AL54" s="15" t="s">
        <v>2</v>
      </c>
      <c r="AM54" s="133">
        <v>0.06</v>
      </c>
      <c r="AN54" s="133">
        <v>0.06</v>
      </c>
      <c r="AO54" s="133">
        <v>0.06</v>
      </c>
      <c r="AP54" s="133">
        <v>0.06</v>
      </c>
      <c r="AQ54" s="133">
        <v>0.06</v>
      </c>
      <c r="AR54" s="133">
        <v>0.06</v>
      </c>
      <c r="AS54" s="15" t="s">
        <v>2</v>
      </c>
      <c r="AT54" s="133">
        <v>0.06</v>
      </c>
      <c r="AU54" s="133">
        <v>0.06</v>
      </c>
      <c r="AV54" s="133">
        <v>0.06</v>
      </c>
      <c r="AW54" s="133">
        <v>0.06</v>
      </c>
      <c r="AX54" s="133">
        <v>0.06</v>
      </c>
      <c r="AY54" s="133">
        <v>0.06</v>
      </c>
      <c r="AZ54" s="133">
        <v>0.06</v>
      </c>
      <c r="BA54" s="133">
        <v>0.06</v>
      </c>
      <c r="BB54" s="133">
        <v>0.06</v>
      </c>
      <c r="BC54" s="133">
        <v>0.06</v>
      </c>
      <c r="BD54" s="15" t="s">
        <v>2</v>
      </c>
      <c r="BE54" s="15" t="s">
        <v>2</v>
      </c>
      <c r="BF54" s="133">
        <v>0.06</v>
      </c>
      <c r="BG54" s="133">
        <v>0.06</v>
      </c>
      <c r="BH54" s="15" t="s">
        <v>2</v>
      </c>
      <c r="BI54" s="15" t="s">
        <v>2</v>
      </c>
      <c r="BJ54" s="15" t="s">
        <v>2</v>
      </c>
      <c r="BK54" s="15" t="s">
        <v>2</v>
      </c>
      <c r="BL54" s="15" t="s">
        <v>2</v>
      </c>
      <c r="BM54" s="15" t="s">
        <v>2</v>
      </c>
      <c r="BN54" s="15" t="s">
        <v>2</v>
      </c>
      <c r="BO54" s="15" t="s">
        <v>2</v>
      </c>
      <c r="BP54" s="15" t="s">
        <v>2</v>
      </c>
      <c r="BQ54" s="15" t="s">
        <v>2</v>
      </c>
      <c r="BR54" s="133">
        <v>0.06</v>
      </c>
      <c r="BS54" s="133">
        <v>0.06</v>
      </c>
      <c r="BT54" s="15" t="s">
        <v>2</v>
      </c>
      <c r="BU54" s="15" t="s">
        <v>2</v>
      </c>
      <c r="BV54" s="133">
        <v>0.06</v>
      </c>
      <c r="BW54" s="133">
        <v>0.06</v>
      </c>
      <c r="BX54" s="15" t="s">
        <v>2</v>
      </c>
      <c r="BY54" s="15" t="s">
        <v>2</v>
      </c>
      <c r="BZ54" s="15" t="s">
        <v>2</v>
      </c>
      <c r="CA54" s="15" t="s">
        <v>2</v>
      </c>
      <c r="CB54" s="133">
        <v>0.06</v>
      </c>
      <c r="CC54" s="133">
        <v>0.06</v>
      </c>
      <c r="CD54" s="133">
        <v>0.06</v>
      </c>
      <c r="CE54" s="133">
        <v>0.06</v>
      </c>
      <c r="CF54" s="133">
        <v>0.06</v>
      </c>
      <c r="CG54" s="133">
        <v>0.06</v>
      </c>
      <c r="CH54" s="133">
        <v>0.06</v>
      </c>
      <c r="CI54" s="133">
        <v>0.06</v>
      </c>
      <c r="CJ54" s="15" t="s">
        <v>2</v>
      </c>
      <c r="CK54" s="15" t="s">
        <v>2</v>
      </c>
      <c r="CL54" s="15" t="s">
        <v>2</v>
      </c>
      <c r="CM54" s="15" t="s">
        <v>2</v>
      </c>
      <c r="CN54" s="15" t="s">
        <v>2</v>
      </c>
      <c r="CO54" s="15" t="s">
        <v>2</v>
      </c>
      <c r="CP54" s="15" t="s">
        <v>2</v>
      </c>
      <c r="CQ54" s="15" t="s">
        <v>2</v>
      </c>
      <c r="CR54" s="15" t="s">
        <v>2</v>
      </c>
      <c r="CS54" s="15" t="s">
        <v>2</v>
      </c>
      <c r="CT54" s="15" t="s">
        <v>2</v>
      </c>
      <c r="CU54" s="15" t="s">
        <v>2</v>
      </c>
      <c r="CV54" s="15" t="s">
        <v>2</v>
      </c>
      <c r="CW54" s="15" t="s">
        <v>2</v>
      </c>
      <c r="CX54" s="15" t="s">
        <v>2</v>
      </c>
      <c r="CY54" s="15" t="s">
        <v>2</v>
      </c>
      <c r="CZ54" s="133">
        <v>0.06</v>
      </c>
      <c r="DA54" s="133">
        <v>0.06</v>
      </c>
      <c r="DB54" s="15" t="s">
        <v>2</v>
      </c>
      <c r="DC54" s="15" t="s">
        <v>2</v>
      </c>
      <c r="DD54" s="15" t="s">
        <v>2</v>
      </c>
      <c r="DE54" s="15" t="s">
        <v>2</v>
      </c>
      <c r="DF54" s="15" t="s">
        <v>2</v>
      </c>
      <c r="DG54" s="133">
        <v>0.06</v>
      </c>
      <c r="DH54" s="133">
        <v>0.06</v>
      </c>
      <c r="DI54" s="133">
        <v>0.06</v>
      </c>
      <c r="DJ54" s="133">
        <v>0.06</v>
      </c>
      <c r="DK54" s="133">
        <v>0.06</v>
      </c>
      <c r="DL54" s="133">
        <v>0.06</v>
      </c>
      <c r="DM54" s="133">
        <v>0.06</v>
      </c>
      <c r="DN54" s="133">
        <v>0.06</v>
      </c>
      <c r="DO54" s="15" t="s">
        <v>2</v>
      </c>
      <c r="DP54" s="15" t="s">
        <v>2</v>
      </c>
      <c r="DQ54" s="15" t="s">
        <v>2</v>
      </c>
      <c r="DR54" s="15" t="s">
        <v>2</v>
      </c>
      <c r="DS54" s="15" t="s">
        <v>2</v>
      </c>
      <c r="DT54" s="15" t="s">
        <v>2</v>
      </c>
      <c r="DU54" s="15" t="s">
        <v>2</v>
      </c>
      <c r="DV54" s="15" t="s">
        <v>2</v>
      </c>
      <c r="DW54" s="15" t="s">
        <v>2</v>
      </c>
      <c r="DX54" s="15" t="s">
        <v>2</v>
      </c>
      <c r="DY54" s="15" t="s">
        <v>2</v>
      </c>
      <c r="DZ54" s="15" t="s">
        <v>2</v>
      </c>
    </row>
    <row r="55" spans="1:130" x14ac:dyDescent="0.25">
      <c r="A55" s="11" t="s">
        <v>56</v>
      </c>
      <c r="B55" t="s">
        <v>2</v>
      </c>
      <c r="C55" s="49" t="s">
        <v>2</v>
      </c>
      <c r="D55" s="16" t="s">
        <v>2</v>
      </c>
      <c r="E55" s="16" t="s">
        <v>2</v>
      </c>
      <c r="F55" s="16" t="s">
        <v>2</v>
      </c>
      <c r="G55" s="16" t="s">
        <v>2</v>
      </c>
      <c r="H55" s="16" t="s">
        <v>2</v>
      </c>
      <c r="I55" s="16" t="s">
        <v>2</v>
      </c>
      <c r="J55" s="57">
        <v>46051</v>
      </c>
      <c r="K55" s="57">
        <v>45960</v>
      </c>
      <c r="L55" s="57">
        <v>45646</v>
      </c>
      <c r="M55" s="222">
        <v>45063</v>
      </c>
      <c r="N55" s="164"/>
    </row>
    <row r="56" spans="1:130" x14ac:dyDescent="0.25">
      <c r="A56" s="11" t="s">
        <v>57</v>
      </c>
      <c r="B56" t="s">
        <v>2</v>
      </c>
      <c r="C56" s="49" t="s">
        <v>2</v>
      </c>
      <c r="D56" s="16" t="s">
        <v>2</v>
      </c>
      <c r="E56" s="16" t="s">
        <v>2</v>
      </c>
      <c r="F56" s="16" t="s">
        <v>2</v>
      </c>
      <c r="G56" s="16" t="s">
        <v>2</v>
      </c>
      <c r="H56" s="16" t="s">
        <v>2</v>
      </c>
      <c r="I56" s="16" t="s">
        <v>2</v>
      </c>
      <c r="J56" s="243" t="s">
        <v>419</v>
      </c>
      <c r="K56" s="57">
        <v>45917</v>
      </c>
      <c r="L56" s="57">
        <v>45489</v>
      </c>
      <c r="M56" s="55">
        <v>45146</v>
      </c>
      <c r="N56" s="164"/>
      <c r="O56" s="334" t="s">
        <v>413</v>
      </c>
      <c r="P56" s="28" t="str">
        <f>$P$3</f>
        <v xml:space="preserve">  RFA 2023-102</v>
      </c>
      <c r="Q56" s="28" t="str">
        <f>$Q$3</f>
        <v xml:space="preserve">  RFA 2023-102SF</v>
      </c>
      <c r="R56" s="28" t="str">
        <f>$R$3</f>
        <v xml:space="preserve">  RFA 2023-103</v>
      </c>
      <c r="S56" s="28" t="str">
        <f>$S$3</f>
        <v xml:space="preserve">  RFA 2023-103SF</v>
      </c>
      <c r="T56" s="28" t="str">
        <f>$T$3</f>
        <v xml:space="preserve">  RFA 2023-104</v>
      </c>
      <c r="U56" s="28" t="str">
        <f>$U$3</f>
        <v xml:space="preserve">  RFA 2023-104SF</v>
      </c>
      <c r="V56" s="28" t="str">
        <f>$V$3</f>
        <v xml:space="preserve">  RFA 2023-105</v>
      </c>
      <c r="W56" s="28" t="str">
        <f>$W$3</f>
        <v xml:space="preserve">  RFA 2023-106</v>
      </c>
      <c r="X56" s="28" t="str">
        <f>$X$3</f>
        <v xml:space="preserve">  RFA 2023-106SF</v>
      </c>
      <c r="Y56" s="28" t="str">
        <f>$Y$3</f>
        <v xml:space="preserve">  RFA 2023-108</v>
      </c>
      <c r="Z56" s="167" t="str">
        <f>Z3</f>
        <v xml:space="preserve">  RFA 2023-201</v>
      </c>
      <c r="AA56" s="167" t="str">
        <f>AA3</f>
        <v xml:space="preserve">  RFA 2023-202</v>
      </c>
      <c r="AB56" s="167" t="str">
        <f t="shared" ref="AB56:CM56" si="51">AB3</f>
        <v xml:space="preserve">  RFA 2023-202SF</v>
      </c>
      <c r="AC56" s="167" t="str">
        <f t="shared" si="51"/>
        <v xml:space="preserve">  RFA 2023-203SF</v>
      </c>
      <c r="AD56" s="167" t="str">
        <f t="shared" si="51"/>
        <v xml:space="preserve">  RFA 2023-204</v>
      </c>
      <c r="AE56" s="167" t="str">
        <f t="shared" si="51"/>
        <v xml:space="preserve">  RFA 2023-204SF</v>
      </c>
      <c r="AF56" s="167" t="str">
        <f t="shared" si="51"/>
        <v xml:space="preserve">  RFA 2023-205</v>
      </c>
      <c r="AG56" s="167" t="str">
        <f t="shared" si="51"/>
        <v xml:space="preserve">  RFA 2023-205SF</v>
      </c>
      <c r="AH56" s="167" t="str">
        <f t="shared" si="51"/>
        <v xml:space="preserve">  RFA 2023-211</v>
      </c>
      <c r="AI56" s="167" t="str">
        <f t="shared" si="51"/>
        <v xml:space="preserve">  RFA 2023-212</v>
      </c>
      <c r="AJ56" s="167" t="str">
        <f t="shared" si="51"/>
        <v xml:space="preserve">  RFA 2023-213</v>
      </c>
      <c r="AK56" s="167" t="str">
        <f t="shared" si="51"/>
        <v xml:space="preserve">  RFA 2023-213SF</v>
      </c>
      <c r="AL56" s="167" t="str">
        <f t="shared" si="51"/>
        <v xml:space="preserve">  RFA 2023-304</v>
      </c>
      <c r="AM56" s="167" t="str">
        <f t="shared" si="51"/>
        <v xml:space="preserve">  RFA 2024-102</v>
      </c>
      <c r="AN56" s="167" t="str">
        <f t="shared" si="51"/>
        <v xml:space="preserve">  RFA 2024-102SF</v>
      </c>
      <c r="AO56" s="167" t="str">
        <f t="shared" si="51"/>
        <v xml:space="preserve">  RFA 2024-103</v>
      </c>
      <c r="AP56" s="167" t="str">
        <f t="shared" si="51"/>
        <v xml:space="preserve">  RFA 2024-103SF</v>
      </c>
      <c r="AQ56" s="167" t="str">
        <f t="shared" si="51"/>
        <v xml:space="preserve">  RFA 2024-104</v>
      </c>
      <c r="AR56" s="167" t="str">
        <f t="shared" si="51"/>
        <v xml:space="preserve">  RFA 2024-104SF</v>
      </c>
      <c r="AS56" s="167" t="str">
        <f t="shared" si="51"/>
        <v xml:space="preserve">  RFA 2024-105</v>
      </c>
      <c r="AT56" s="167" t="str">
        <f t="shared" si="51"/>
        <v xml:space="preserve">  RFA 2024-106</v>
      </c>
      <c r="AU56" s="167" t="str">
        <f t="shared" si="51"/>
        <v xml:space="preserve">  RFA 2024-106SF</v>
      </c>
      <c r="AV56" s="167" t="str">
        <f t="shared" si="51"/>
        <v xml:space="preserve">  RFA 2024-201</v>
      </c>
      <c r="AW56" s="167" t="str">
        <f t="shared" si="51"/>
        <v xml:space="preserve">  RFA 2024-202</v>
      </c>
      <c r="AX56" s="167" t="str">
        <f t="shared" si="51"/>
        <v xml:space="preserve">  RFA 2024-202SF</v>
      </c>
      <c r="AY56" s="167" t="str">
        <f t="shared" si="51"/>
        <v xml:space="preserve">  RFA 2024-203</v>
      </c>
      <c r="AZ56" s="167" t="str">
        <f t="shared" si="51"/>
        <v xml:space="preserve">  RFA 2024-204</v>
      </c>
      <c r="BA56" s="167" t="str">
        <f t="shared" si="51"/>
        <v xml:space="preserve">  RFA 2024-204SF</v>
      </c>
      <c r="BB56" s="167" t="str">
        <f t="shared" si="51"/>
        <v xml:space="preserve">  RFA 2024-205</v>
      </c>
      <c r="BC56" s="167" t="str">
        <f t="shared" si="51"/>
        <v xml:space="preserve">  RFA 2024-205SF</v>
      </c>
      <c r="BD56" s="167" t="str">
        <f t="shared" si="51"/>
        <v xml:space="preserve">  RFA 2024-206</v>
      </c>
      <c r="BE56" s="167" t="str">
        <f t="shared" si="51"/>
        <v xml:space="preserve">  RFA 2024-206SF</v>
      </c>
      <c r="BF56" s="167" t="str">
        <f t="shared" si="51"/>
        <v xml:space="preserve">  RFA 2024-213</v>
      </c>
      <c r="BG56" s="167" t="str">
        <f t="shared" si="51"/>
        <v xml:space="preserve">  RFA 2024-213SF</v>
      </c>
      <c r="BH56" s="167" t="str">
        <f t="shared" si="51"/>
        <v xml:space="preserve">  RFA 2024-214</v>
      </c>
      <c r="BI56" s="167" t="str">
        <f t="shared" si="51"/>
        <v xml:space="preserve">  RFA 2024-214SF</v>
      </c>
      <c r="BJ56" s="167" t="str">
        <f t="shared" si="51"/>
        <v xml:space="preserve">  RFA 2024-215</v>
      </c>
      <c r="BK56" s="167" t="str">
        <f t="shared" si="51"/>
        <v xml:space="preserve">  RFA 2024-215SF</v>
      </c>
      <c r="BL56" s="167" t="str">
        <f t="shared" si="51"/>
        <v xml:space="preserve">  RFA 2024-216</v>
      </c>
      <c r="BM56" s="167" t="str">
        <f t="shared" si="51"/>
        <v xml:space="preserve">  RFA 2024-216SF</v>
      </c>
      <c r="BN56" s="167" t="str">
        <f t="shared" si="51"/>
        <v xml:space="preserve">  RFA 2024-305</v>
      </c>
      <c r="BO56" s="167" t="str">
        <f t="shared" si="51"/>
        <v xml:space="preserve">  RFA 2024-305SF</v>
      </c>
      <c r="BP56" s="167" t="str">
        <f t="shared" si="51"/>
        <v xml:space="preserve">  RFA 2024-306</v>
      </c>
      <c r="BQ56" s="167" t="str">
        <f t="shared" si="51"/>
        <v xml:space="preserve">  RFA 2024-306SF</v>
      </c>
      <c r="BR56" s="167" t="str">
        <f t="shared" si="51"/>
        <v xml:space="preserve">  RFA 2025-102</v>
      </c>
      <c r="BS56" s="167" t="str">
        <f t="shared" si="51"/>
        <v xml:space="preserve">  RFA 2025-102SF</v>
      </c>
      <c r="BT56" s="167" t="str">
        <f t="shared" si="51"/>
        <v xml:space="preserve">  RFA 2025-103</v>
      </c>
      <c r="BU56" s="167" t="str">
        <f t="shared" si="51"/>
        <v xml:space="preserve">  RFA 2025-103SF</v>
      </c>
      <c r="BV56" s="167" t="str">
        <f t="shared" si="51"/>
        <v xml:space="preserve">  RFA 2025-104</v>
      </c>
      <c r="BW56" s="167" t="str">
        <f t="shared" si="51"/>
        <v xml:space="preserve">  RFA 2025-104SF</v>
      </c>
      <c r="BX56" s="167" t="str">
        <f t="shared" si="51"/>
        <v xml:space="preserve">  RFA 2025-106</v>
      </c>
      <c r="BY56" s="167" t="str">
        <f t="shared" si="51"/>
        <v xml:space="preserve">  RFA 2025-106SF</v>
      </c>
      <c r="BZ56" s="167" t="str">
        <f t="shared" si="51"/>
        <v xml:space="preserve">  RFA 2025-108</v>
      </c>
      <c r="CA56" s="167" t="str">
        <f t="shared" si="51"/>
        <v xml:space="preserve">  RFA 2025-108SF</v>
      </c>
      <c r="CB56" s="167" t="str">
        <f t="shared" si="51"/>
        <v xml:space="preserve">  RFA 2025-201</v>
      </c>
      <c r="CC56" s="167" t="str">
        <f t="shared" si="51"/>
        <v xml:space="preserve">  RFA 2025-202</v>
      </c>
      <c r="CD56" s="167" t="str">
        <f t="shared" si="51"/>
        <v xml:space="preserve">  RFA 2025-202SF</v>
      </c>
      <c r="CE56" s="167" t="str">
        <f t="shared" si="51"/>
        <v xml:space="preserve">  RFA 2025-203</v>
      </c>
      <c r="CF56" s="167" t="str">
        <f t="shared" si="51"/>
        <v xml:space="preserve">  RFA 2025-204</v>
      </c>
      <c r="CG56" s="167" t="str">
        <f t="shared" si="51"/>
        <v xml:space="preserve">  RFA 2025-204SF</v>
      </c>
      <c r="CH56" s="167" t="str">
        <f t="shared" si="51"/>
        <v xml:space="preserve">  RFA 2025-205</v>
      </c>
      <c r="CI56" s="167" t="str">
        <f t="shared" si="51"/>
        <v xml:space="preserve">  RFA 2025-205SF</v>
      </c>
      <c r="CJ56" s="167" t="str">
        <f t="shared" si="51"/>
        <v xml:space="preserve">  RFA 2025-206</v>
      </c>
      <c r="CK56" s="167" t="str">
        <f t="shared" si="51"/>
        <v xml:space="preserve">  RFA 2025-206SF</v>
      </c>
      <c r="CL56" s="167" t="str">
        <f t="shared" si="51"/>
        <v xml:space="preserve">  RFA 2025-212</v>
      </c>
      <c r="CM56" s="167" t="str">
        <f t="shared" si="51"/>
        <v xml:space="preserve">  RFA 2025-212SF</v>
      </c>
      <c r="CN56" s="167" t="str">
        <f t="shared" ref="CN56:DJ56" si="52">CN3</f>
        <v xml:space="preserve">  RFA 2025-213</v>
      </c>
      <c r="CO56" s="167" t="str">
        <f t="shared" si="52"/>
        <v xml:space="preserve">  RFA 2025-213SF</v>
      </c>
      <c r="CP56" s="167" t="str">
        <f t="shared" si="52"/>
        <v xml:space="preserve">  RFA 2025-214</v>
      </c>
      <c r="CQ56" s="167" t="str">
        <f t="shared" si="52"/>
        <v xml:space="preserve">  RFA 2025-214SF</v>
      </c>
      <c r="CR56" s="167" t="str">
        <f t="shared" si="52"/>
        <v xml:space="preserve">  RFA 2025-215</v>
      </c>
      <c r="CS56" s="167" t="str">
        <f t="shared" si="52"/>
        <v xml:space="preserve">  RFA 2025-215SF</v>
      </c>
      <c r="CT56" s="167" t="str">
        <f t="shared" si="52"/>
        <v xml:space="preserve">  RFA 2025-216</v>
      </c>
      <c r="CU56" s="167" t="str">
        <f t="shared" si="52"/>
        <v xml:space="preserve">  RFA 2025-216SF</v>
      </c>
      <c r="CV56" s="167" t="str">
        <f t="shared" si="52"/>
        <v xml:space="preserve">  RFA 2026-102</v>
      </c>
      <c r="CW56" s="167" t="str">
        <f t="shared" si="52"/>
        <v xml:space="preserve">  RFA 2026-102SF</v>
      </c>
      <c r="CX56" s="167" t="str">
        <f t="shared" si="52"/>
        <v xml:space="preserve">  RFA 2026-103</v>
      </c>
      <c r="CY56" s="167" t="str">
        <f t="shared" si="52"/>
        <v xml:space="preserve">  RFA 2026-103SF</v>
      </c>
      <c r="CZ56" s="167" t="str">
        <f t="shared" si="52"/>
        <v xml:space="preserve">  RFA 2026-104</v>
      </c>
      <c r="DA56" s="167" t="str">
        <f t="shared" si="52"/>
        <v xml:space="preserve">  RFA 2026-104SF</v>
      </c>
      <c r="DB56" s="167" t="str">
        <f t="shared" si="52"/>
        <v xml:space="preserve">  RFA 2026-105</v>
      </c>
      <c r="DC56" s="167" t="str">
        <f t="shared" si="52"/>
        <v xml:space="preserve">  RFA 2026-106</v>
      </c>
      <c r="DD56" s="167" t="str">
        <f t="shared" si="52"/>
        <v xml:space="preserve">  RFA 2026-106SF</v>
      </c>
      <c r="DE56" s="167" t="str">
        <f>$DE$3</f>
        <v xml:space="preserve">  RFA 2026-108</v>
      </c>
      <c r="DF56" s="167" t="str">
        <f>$DF$3</f>
        <v xml:space="preserve">  RFA 2026-108SF</v>
      </c>
      <c r="DG56" s="167" t="str">
        <f t="shared" si="52"/>
        <v xml:space="preserve">  RFA 2026-201</v>
      </c>
      <c r="DH56" s="167" t="str">
        <f t="shared" si="52"/>
        <v xml:space="preserve">  RFA 2026-202</v>
      </c>
      <c r="DI56" s="167" t="str">
        <f t="shared" si="52"/>
        <v xml:space="preserve">  RFA 2026-202SF</v>
      </c>
      <c r="DJ56" s="167" t="str">
        <f t="shared" si="52"/>
        <v xml:space="preserve">  RFA 2026-203</v>
      </c>
      <c r="DK56" s="167" t="str">
        <f>DK47</f>
        <v xml:space="preserve">  RFA 2026-204</v>
      </c>
      <c r="DL56" s="167" t="str">
        <f>DL47</f>
        <v xml:space="preserve">  RFA 2026-204SF</v>
      </c>
      <c r="DM56" s="167" t="s">
        <v>422</v>
      </c>
      <c r="DN56" s="167" t="s">
        <v>423</v>
      </c>
      <c r="DO56" s="167" t="str">
        <f t="shared" ref="DO56:DV56" si="53">DO3</f>
        <v xml:space="preserve">  RFA 2026-206</v>
      </c>
      <c r="DP56" s="167" t="str">
        <f t="shared" si="53"/>
        <v xml:space="preserve">  RFA 2026-206SF</v>
      </c>
      <c r="DQ56" s="167" t="str">
        <f t="shared" si="53"/>
        <v xml:space="preserve">  RFA 2026-212</v>
      </c>
      <c r="DR56" s="167" t="str">
        <f t="shared" si="53"/>
        <v xml:space="preserve">  RFA 2026-212SF</v>
      </c>
      <c r="DS56" s="167" t="str">
        <f t="shared" si="53"/>
        <v xml:space="preserve">  RFA 2026-216</v>
      </c>
      <c r="DT56" s="167" t="str">
        <f t="shared" si="53"/>
        <v xml:space="preserve">  RFA 2026-216SF</v>
      </c>
      <c r="DU56" s="167" t="str">
        <f t="shared" si="53"/>
        <v xml:space="preserve">  RFA 2026-218</v>
      </c>
      <c r="DV56" s="167" t="str">
        <f t="shared" si="53"/>
        <v xml:space="preserve">  RFA 2026-218SF</v>
      </c>
      <c r="DW56" s="167" t="str">
        <f>$DW$3</f>
        <v xml:space="preserve">  RFA 2027-103</v>
      </c>
      <c r="DX56" s="167" t="str">
        <f>$DX$3</f>
        <v xml:space="preserve">  RFA 2027-103SF</v>
      </c>
      <c r="DY56" s="167" t="str">
        <f>$DY$3</f>
        <v xml:space="preserve">  RFA 2027-106</v>
      </c>
      <c r="DZ56" s="167" t="str">
        <f>$DZ$3</f>
        <v xml:space="preserve">  RFA 2027-106SF</v>
      </c>
    </row>
    <row r="57" spans="1:130" ht="15" customHeight="1" x14ac:dyDescent="0.25">
      <c r="A57" s="11" t="s">
        <v>58</v>
      </c>
      <c r="B57" t="s">
        <v>2</v>
      </c>
      <c r="C57" s="49" t="s">
        <v>2</v>
      </c>
      <c r="D57" s="16" t="s">
        <v>2</v>
      </c>
      <c r="E57" s="16" t="s">
        <v>2</v>
      </c>
      <c r="F57" s="16" t="s">
        <v>2</v>
      </c>
      <c r="G57" s="16" t="s">
        <v>2</v>
      </c>
      <c r="H57" s="16" t="s">
        <v>2</v>
      </c>
      <c r="I57" s="16" t="s">
        <v>2</v>
      </c>
      <c r="J57" s="243">
        <v>46296</v>
      </c>
      <c r="K57" s="57">
        <v>46070</v>
      </c>
      <c r="L57" s="57">
        <v>45539</v>
      </c>
      <c r="M57" s="165">
        <v>45280</v>
      </c>
      <c r="N57" s="164"/>
      <c r="O57" s="335"/>
      <c r="P57" s="14" t="s">
        <v>2</v>
      </c>
      <c r="Q57" s="14" t="s">
        <v>2</v>
      </c>
      <c r="R57" s="14" t="s">
        <v>2</v>
      </c>
      <c r="S57" s="14" t="s">
        <v>2</v>
      </c>
      <c r="T57" s="14" t="s">
        <v>2</v>
      </c>
      <c r="U57" s="14" t="s">
        <v>2</v>
      </c>
      <c r="V57" s="14" t="s">
        <v>2</v>
      </c>
      <c r="W57" s="14" t="s">
        <v>2</v>
      </c>
      <c r="X57" s="14" t="s">
        <v>2</v>
      </c>
      <c r="Y57" s="14" t="s">
        <v>2</v>
      </c>
      <c r="Z57" s="132">
        <v>0.75</v>
      </c>
      <c r="AA57" s="132">
        <v>0.75</v>
      </c>
      <c r="AB57" s="132">
        <v>0.75</v>
      </c>
      <c r="AC57" s="132">
        <v>0.75</v>
      </c>
      <c r="AD57" s="132">
        <v>0.75</v>
      </c>
      <c r="AE57" s="132">
        <v>0.75</v>
      </c>
      <c r="AF57" s="132">
        <v>0.75</v>
      </c>
      <c r="AG57" s="132">
        <v>0.75</v>
      </c>
      <c r="AH57" s="14" t="s">
        <v>2</v>
      </c>
      <c r="AI57" s="132">
        <v>0.75</v>
      </c>
      <c r="AJ57" s="132">
        <v>0.75</v>
      </c>
      <c r="AK57" s="132">
        <v>0.75</v>
      </c>
      <c r="AL57" s="14" t="s">
        <v>2</v>
      </c>
      <c r="AM57" s="132">
        <v>0.75</v>
      </c>
      <c r="AN57" s="132">
        <v>0.75</v>
      </c>
      <c r="AO57" s="132">
        <v>0.75</v>
      </c>
      <c r="AP57" s="132">
        <v>0.75</v>
      </c>
      <c r="AQ57" s="132">
        <v>0.75</v>
      </c>
      <c r="AR57" s="132">
        <v>0.75</v>
      </c>
      <c r="AS57" s="14" t="s">
        <v>2</v>
      </c>
      <c r="AT57" s="132">
        <v>0.75</v>
      </c>
      <c r="AU57" s="132">
        <v>0.75</v>
      </c>
      <c r="AV57" s="132">
        <v>0.75</v>
      </c>
      <c r="AW57" s="132">
        <v>0.75</v>
      </c>
      <c r="AX57" s="132">
        <v>0.75</v>
      </c>
      <c r="AY57" s="132">
        <v>0.75</v>
      </c>
      <c r="AZ57" s="132">
        <v>0.75</v>
      </c>
      <c r="BA57" s="132">
        <v>0.75</v>
      </c>
      <c r="BB57" s="132">
        <v>0.75</v>
      </c>
      <c r="BC57" s="132">
        <v>0.75</v>
      </c>
      <c r="BD57" s="132">
        <v>0.75</v>
      </c>
      <c r="BE57" s="132">
        <v>0.75</v>
      </c>
      <c r="BF57" s="132">
        <v>0.75</v>
      </c>
      <c r="BG57" s="132">
        <v>0.75</v>
      </c>
      <c r="BH57" s="132">
        <v>0.75</v>
      </c>
      <c r="BI57" s="132">
        <v>0.75</v>
      </c>
      <c r="BJ57" s="132">
        <v>0.75</v>
      </c>
      <c r="BK57" s="132">
        <v>0.75</v>
      </c>
      <c r="BL57" s="132">
        <v>0.75</v>
      </c>
      <c r="BM57" s="132">
        <v>0.75</v>
      </c>
      <c r="BN57" s="132">
        <v>0.75</v>
      </c>
      <c r="BO57" s="132">
        <v>0.75</v>
      </c>
      <c r="BP57" s="132">
        <v>0.75</v>
      </c>
      <c r="BQ57" s="132">
        <v>0.75</v>
      </c>
      <c r="BR57" s="132">
        <v>0.75</v>
      </c>
      <c r="BS57" s="132">
        <v>0.75</v>
      </c>
      <c r="BT57" s="132">
        <v>0.75</v>
      </c>
      <c r="BU57" s="132">
        <v>0.75</v>
      </c>
      <c r="BV57" s="132">
        <v>0.75</v>
      </c>
      <c r="BW57" s="132">
        <v>0.75</v>
      </c>
      <c r="BX57" s="132">
        <v>0.75</v>
      </c>
      <c r="BY57" s="132">
        <v>0.75</v>
      </c>
      <c r="BZ57" s="132">
        <v>0.75</v>
      </c>
      <c r="CA57" s="132">
        <v>0.75</v>
      </c>
      <c r="CB57" s="132">
        <v>0.75</v>
      </c>
      <c r="CC57" s="132">
        <v>0.75</v>
      </c>
      <c r="CD57" s="132">
        <v>0.75</v>
      </c>
      <c r="CE57" s="132">
        <v>0.75</v>
      </c>
      <c r="CF57" s="132">
        <v>0.75</v>
      </c>
      <c r="CG57" s="132">
        <v>0.75</v>
      </c>
      <c r="CH57" s="132">
        <v>0.75</v>
      </c>
      <c r="CI57" s="132">
        <v>0.75</v>
      </c>
      <c r="CJ57" s="132">
        <v>0.75</v>
      </c>
      <c r="CK57" s="132">
        <v>0.75</v>
      </c>
      <c r="CL57" s="132">
        <v>0.75</v>
      </c>
      <c r="CM57" s="132">
        <v>0.75</v>
      </c>
      <c r="CN57" s="132">
        <v>0.75</v>
      </c>
      <c r="CO57" s="132">
        <v>0.75</v>
      </c>
      <c r="CP57" s="132">
        <v>0.75</v>
      </c>
      <c r="CQ57" s="132">
        <v>0.75</v>
      </c>
      <c r="CR57" s="132">
        <v>0.75</v>
      </c>
      <c r="CS57" s="132">
        <v>0.75</v>
      </c>
      <c r="CT57" s="132">
        <v>0.75</v>
      </c>
      <c r="CU57" s="132">
        <v>0.75</v>
      </c>
      <c r="CV57" s="132">
        <v>0.75</v>
      </c>
      <c r="CW57" s="132">
        <v>0.75</v>
      </c>
      <c r="CX57" s="132">
        <v>0.75</v>
      </c>
      <c r="CY57" s="132">
        <v>0.75</v>
      </c>
      <c r="CZ57" s="132">
        <v>0.75</v>
      </c>
      <c r="DA57" s="132">
        <v>0.75</v>
      </c>
      <c r="DB57" s="14" t="s">
        <v>2</v>
      </c>
      <c r="DC57" s="132">
        <v>0.75</v>
      </c>
      <c r="DD57" s="132">
        <v>0.75</v>
      </c>
      <c r="DE57" s="132">
        <v>0.75</v>
      </c>
      <c r="DF57" s="132">
        <v>0.75</v>
      </c>
      <c r="DG57" s="132">
        <v>0.75</v>
      </c>
      <c r="DH57" s="132">
        <v>0.75</v>
      </c>
      <c r="DI57" s="132">
        <v>0.75</v>
      </c>
      <c r="DJ57" s="132">
        <v>0.75</v>
      </c>
      <c r="DK57" s="132">
        <v>0.75</v>
      </c>
      <c r="DL57" s="132">
        <v>0.75</v>
      </c>
      <c r="DM57" s="132">
        <v>0.75</v>
      </c>
      <c r="DN57" s="132">
        <v>0.75</v>
      </c>
      <c r="DO57" s="132">
        <v>0.75</v>
      </c>
      <c r="DP57" s="132">
        <v>0.75</v>
      </c>
      <c r="DQ57" s="132">
        <v>0.75</v>
      </c>
      <c r="DR57" s="132">
        <v>0.75</v>
      </c>
      <c r="DS57" s="132">
        <v>0.75</v>
      </c>
      <c r="DT57" s="132">
        <v>0.75</v>
      </c>
      <c r="DU57" s="14" t="s">
        <v>2</v>
      </c>
      <c r="DV57" s="14" t="s">
        <v>2</v>
      </c>
      <c r="DW57" s="132">
        <v>0.75</v>
      </c>
      <c r="DX57" s="132">
        <v>0.75</v>
      </c>
      <c r="DY57" s="132">
        <v>0.75</v>
      </c>
      <c r="DZ57" s="132">
        <v>0.75</v>
      </c>
    </row>
    <row r="58" spans="1:130" x14ac:dyDescent="0.25">
      <c r="A58" s="11" t="s">
        <v>59</v>
      </c>
      <c r="B58" t="s">
        <v>2</v>
      </c>
      <c r="C58" s="49" t="s">
        <v>2</v>
      </c>
      <c r="D58" s="16" t="s">
        <v>2</v>
      </c>
      <c r="E58" s="16" t="s">
        <v>2</v>
      </c>
      <c r="F58" s="16" t="s">
        <v>2</v>
      </c>
      <c r="G58" s="16" t="s">
        <v>2</v>
      </c>
      <c r="H58" s="16" t="s">
        <v>2</v>
      </c>
      <c r="I58" s="16" t="s">
        <v>2</v>
      </c>
      <c r="J58" s="243" t="s">
        <v>419</v>
      </c>
      <c r="K58" s="57">
        <v>45937</v>
      </c>
      <c r="L58" s="57">
        <v>45504</v>
      </c>
      <c r="M58" s="222">
        <v>45049</v>
      </c>
      <c r="N58" s="164"/>
      <c r="O58" s="335"/>
      <c r="P58" s="14" t="s">
        <v>2</v>
      </c>
      <c r="Q58" s="14" t="s">
        <v>2</v>
      </c>
      <c r="R58" s="14" t="s">
        <v>2</v>
      </c>
      <c r="S58" s="14" t="s">
        <v>2</v>
      </c>
      <c r="T58" s="14" t="s">
        <v>2</v>
      </c>
      <c r="U58" s="14" t="s">
        <v>2</v>
      </c>
      <c r="V58" s="14" t="s">
        <v>2</v>
      </c>
      <c r="W58" s="14" t="s">
        <v>2</v>
      </c>
      <c r="X58" s="14" t="s">
        <v>2</v>
      </c>
      <c r="Y58" s="14" t="s">
        <v>2</v>
      </c>
      <c r="Z58" s="132">
        <v>0.75</v>
      </c>
      <c r="AA58" s="132">
        <v>0.75</v>
      </c>
      <c r="AB58" s="132">
        <v>0.75</v>
      </c>
      <c r="AC58" s="132">
        <v>0.75</v>
      </c>
      <c r="AD58" s="132">
        <v>0.75</v>
      </c>
      <c r="AE58" s="132">
        <v>0.75</v>
      </c>
      <c r="AF58" s="132">
        <v>0.75</v>
      </c>
      <c r="AG58" s="132">
        <v>0.75</v>
      </c>
      <c r="AH58" s="14" t="s">
        <v>2</v>
      </c>
      <c r="AI58" s="132">
        <v>0.75</v>
      </c>
      <c r="AJ58" s="132">
        <v>0.75</v>
      </c>
      <c r="AK58" s="132">
        <v>0.75</v>
      </c>
      <c r="AL58" s="14" t="s">
        <v>2</v>
      </c>
      <c r="AM58" s="132">
        <v>0.75</v>
      </c>
      <c r="AN58" s="132">
        <v>0.75</v>
      </c>
      <c r="AO58" s="132">
        <v>0.75</v>
      </c>
      <c r="AP58" s="132">
        <v>0.75</v>
      </c>
      <c r="AQ58" s="132">
        <v>0.75</v>
      </c>
      <c r="AR58" s="132">
        <v>0.75</v>
      </c>
      <c r="AS58" s="14" t="s">
        <v>2</v>
      </c>
      <c r="AT58" s="132">
        <v>0.75</v>
      </c>
      <c r="AU58" s="132">
        <v>0.75</v>
      </c>
      <c r="AV58" s="132">
        <v>0.75</v>
      </c>
      <c r="AW58" s="132">
        <v>0.75</v>
      </c>
      <c r="AX58" s="132">
        <v>0.75</v>
      </c>
      <c r="AY58" s="132">
        <v>0.75</v>
      </c>
      <c r="AZ58" s="132">
        <v>0.75</v>
      </c>
      <c r="BA58" s="132">
        <v>0.75</v>
      </c>
      <c r="BB58" s="132">
        <v>0.75</v>
      </c>
      <c r="BC58" s="132">
        <v>0.75</v>
      </c>
      <c r="BD58" s="132">
        <v>0.75</v>
      </c>
      <c r="BE58" s="132">
        <v>0.75</v>
      </c>
      <c r="BF58" s="132">
        <v>0.75</v>
      </c>
      <c r="BG58" s="132">
        <v>0.75</v>
      </c>
      <c r="BH58" s="132">
        <v>0.75</v>
      </c>
      <c r="BI58" s="132">
        <v>0.75</v>
      </c>
      <c r="BJ58" s="132">
        <v>0.75</v>
      </c>
      <c r="BK58" s="132">
        <v>0.75</v>
      </c>
      <c r="BL58" s="132">
        <v>0.75</v>
      </c>
      <c r="BM58" s="132">
        <v>0.75</v>
      </c>
      <c r="BN58" s="132">
        <v>0.75</v>
      </c>
      <c r="BO58" s="132">
        <v>0.75</v>
      </c>
      <c r="BP58" s="132">
        <v>0.75</v>
      </c>
      <c r="BQ58" s="132">
        <v>0.75</v>
      </c>
      <c r="BR58" s="132">
        <v>0.75</v>
      </c>
      <c r="BS58" s="132">
        <v>0.75</v>
      </c>
      <c r="BT58" s="132">
        <v>0.75</v>
      </c>
      <c r="BU58" s="132">
        <v>0.75</v>
      </c>
      <c r="BV58" s="132">
        <v>0.75</v>
      </c>
      <c r="BW58" s="132">
        <v>0.75</v>
      </c>
      <c r="BX58" s="132">
        <v>0.75</v>
      </c>
      <c r="BY58" s="132">
        <v>0.75</v>
      </c>
      <c r="BZ58" s="132">
        <v>0.75</v>
      </c>
      <c r="CA58" s="132">
        <v>0.75</v>
      </c>
      <c r="CB58" s="132">
        <v>0.75</v>
      </c>
      <c r="CC58" s="132">
        <v>0.75</v>
      </c>
      <c r="CD58" s="132">
        <v>0.75</v>
      </c>
      <c r="CE58" s="132">
        <v>0.75</v>
      </c>
      <c r="CF58" s="132">
        <v>0.75</v>
      </c>
      <c r="CG58" s="132">
        <v>0.75</v>
      </c>
      <c r="CH58" s="132">
        <v>0.75</v>
      </c>
      <c r="CI58" s="132">
        <v>0.75</v>
      </c>
      <c r="CJ58" s="132">
        <v>0.75</v>
      </c>
      <c r="CK58" s="132">
        <v>0.75</v>
      </c>
      <c r="CL58" s="132">
        <v>0.75</v>
      </c>
      <c r="CM58" s="132">
        <v>0.75</v>
      </c>
      <c r="CN58" s="132">
        <v>0.75</v>
      </c>
      <c r="CO58" s="132">
        <v>0.75</v>
      </c>
      <c r="CP58" s="132">
        <v>0.75</v>
      </c>
      <c r="CQ58" s="132">
        <v>0.75</v>
      </c>
      <c r="CR58" s="132">
        <v>0.75</v>
      </c>
      <c r="CS58" s="132">
        <v>0.75</v>
      </c>
      <c r="CT58" s="132">
        <v>0.75</v>
      </c>
      <c r="CU58" s="132">
        <v>0.75</v>
      </c>
      <c r="CV58" s="132">
        <v>0.75</v>
      </c>
      <c r="CW58" s="132">
        <v>0.75</v>
      </c>
      <c r="CX58" s="132">
        <v>0.75</v>
      </c>
      <c r="CY58" s="132">
        <v>0.75</v>
      </c>
      <c r="CZ58" s="132">
        <v>0.75</v>
      </c>
      <c r="DA58" s="132">
        <v>0.75</v>
      </c>
      <c r="DB58" s="14" t="s">
        <v>2</v>
      </c>
      <c r="DC58" s="132">
        <v>0.75</v>
      </c>
      <c r="DD58" s="132">
        <v>0.75</v>
      </c>
      <c r="DE58" s="132">
        <v>0.75</v>
      </c>
      <c r="DF58" s="132">
        <v>0.75</v>
      </c>
      <c r="DG58" s="132">
        <v>0.75</v>
      </c>
      <c r="DH58" s="132">
        <v>0.75</v>
      </c>
      <c r="DI58" s="132">
        <v>0.75</v>
      </c>
      <c r="DJ58" s="132">
        <v>0.75</v>
      </c>
      <c r="DK58" s="132">
        <v>0.75</v>
      </c>
      <c r="DL58" s="132">
        <v>0.75</v>
      </c>
      <c r="DM58" s="132">
        <v>0.75</v>
      </c>
      <c r="DN58" s="132">
        <v>0.75</v>
      </c>
      <c r="DO58" s="132">
        <v>0.75</v>
      </c>
      <c r="DP58" s="132">
        <v>0.75</v>
      </c>
      <c r="DQ58" s="132">
        <v>0.75</v>
      </c>
      <c r="DR58" s="132">
        <v>0.75</v>
      </c>
      <c r="DS58" s="132">
        <v>0.75</v>
      </c>
      <c r="DT58" s="132">
        <v>0.75</v>
      </c>
      <c r="DU58" s="14" t="s">
        <v>2</v>
      </c>
      <c r="DV58" s="14" t="s">
        <v>2</v>
      </c>
      <c r="DW58" s="132">
        <v>0.75</v>
      </c>
      <c r="DX58" s="132">
        <v>0.75</v>
      </c>
      <c r="DY58" s="132">
        <v>0.75</v>
      </c>
      <c r="DZ58" s="132">
        <v>0.75</v>
      </c>
    </row>
    <row r="59" spans="1:130" x14ac:dyDescent="0.25">
      <c r="A59" s="11" t="s">
        <v>60</v>
      </c>
      <c r="B59" t="s">
        <v>2</v>
      </c>
      <c r="C59" s="49" t="s">
        <v>2</v>
      </c>
      <c r="D59" s="16" t="s">
        <v>2</v>
      </c>
      <c r="E59" s="16" t="s">
        <v>2</v>
      </c>
      <c r="F59" s="16" t="s">
        <v>2</v>
      </c>
      <c r="G59" s="16" t="s">
        <v>2</v>
      </c>
      <c r="H59" s="16" t="s">
        <v>2</v>
      </c>
      <c r="I59" s="16" t="s">
        <v>2</v>
      </c>
      <c r="J59" s="16" t="s">
        <v>2</v>
      </c>
      <c r="K59" s="57">
        <v>45748</v>
      </c>
      <c r="L59" s="57">
        <v>45433</v>
      </c>
      <c r="M59" s="163" t="s">
        <v>2</v>
      </c>
      <c r="O59" s="335"/>
      <c r="P59" s="14" t="s">
        <v>2</v>
      </c>
      <c r="Q59" s="14" t="s">
        <v>2</v>
      </c>
      <c r="R59" s="14" t="s">
        <v>2</v>
      </c>
      <c r="S59" s="14" t="s">
        <v>2</v>
      </c>
      <c r="T59" s="14" t="s">
        <v>2</v>
      </c>
      <c r="U59" s="14" t="s">
        <v>2</v>
      </c>
      <c r="V59" s="14" t="s">
        <v>2</v>
      </c>
      <c r="W59" s="14" t="s">
        <v>2</v>
      </c>
      <c r="X59" s="14" t="s">
        <v>2</v>
      </c>
      <c r="Y59" s="14" t="s">
        <v>2</v>
      </c>
      <c r="Z59" s="132">
        <v>0.75</v>
      </c>
      <c r="AA59" s="132">
        <v>0.75</v>
      </c>
      <c r="AB59" s="132">
        <v>0.75</v>
      </c>
      <c r="AC59" s="132">
        <v>0.75</v>
      </c>
      <c r="AD59" s="132">
        <v>0.75</v>
      </c>
      <c r="AE59" s="132">
        <v>0.75</v>
      </c>
      <c r="AF59" s="132">
        <v>0.75</v>
      </c>
      <c r="AG59" s="132">
        <v>0.75</v>
      </c>
      <c r="AH59" s="14" t="s">
        <v>2</v>
      </c>
      <c r="AI59" s="132">
        <v>0.75</v>
      </c>
      <c r="AJ59" s="132">
        <v>0.75</v>
      </c>
      <c r="AK59" s="132">
        <v>0.75</v>
      </c>
      <c r="AL59" s="14" t="s">
        <v>2</v>
      </c>
      <c r="AM59" s="132">
        <v>0.75</v>
      </c>
      <c r="AN59" s="132">
        <v>0.75</v>
      </c>
      <c r="AO59" s="132">
        <v>0.75</v>
      </c>
      <c r="AP59" s="132">
        <v>0.75</v>
      </c>
      <c r="AQ59" s="132">
        <v>0.75</v>
      </c>
      <c r="AR59" s="132">
        <v>0.75</v>
      </c>
      <c r="AS59" s="14" t="s">
        <v>2</v>
      </c>
      <c r="AT59" s="132">
        <v>0.75</v>
      </c>
      <c r="AU59" s="132">
        <v>0.75</v>
      </c>
      <c r="AV59" s="132">
        <v>0.75</v>
      </c>
      <c r="AW59" s="132">
        <v>0.75</v>
      </c>
      <c r="AX59" s="132">
        <v>0.75</v>
      </c>
      <c r="AY59" s="132">
        <v>0.75</v>
      </c>
      <c r="AZ59" s="132">
        <v>0.75</v>
      </c>
      <c r="BA59" s="132">
        <v>0.75</v>
      </c>
      <c r="BB59" s="132">
        <v>0.75</v>
      </c>
      <c r="BC59" s="132">
        <v>0.75</v>
      </c>
      <c r="BD59" s="132">
        <v>0.75</v>
      </c>
      <c r="BE59" s="132">
        <v>0.75</v>
      </c>
      <c r="BF59" s="132">
        <v>0.75</v>
      </c>
      <c r="BG59" s="132">
        <v>0.75</v>
      </c>
      <c r="BH59" s="132">
        <v>0.75</v>
      </c>
      <c r="BI59" s="132">
        <v>0.75</v>
      </c>
      <c r="BJ59" s="132">
        <v>0.75</v>
      </c>
      <c r="BK59" s="132">
        <v>0.75</v>
      </c>
      <c r="BL59" s="132">
        <v>0.75</v>
      </c>
      <c r="BM59" s="132">
        <v>0.75</v>
      </c>
      <c r="BN59" s="132">
        <v>0.75</v>
      </c>
      <c r="BO59" s="132">
        <v>0.75</v>
      </c>
      <c r="BP59" s="132">
        <v>0.75</v>
      </c>
      <c r="BQ59" s="132">
        <v>0.75</v>
      </c>
      <c r="BR59" s="132">
        <v>0.75</v>
      </c>
      <c r="BS59" s="132">
        <v>0.75</v>
      </c>
      <c r="BT59" s="132">
        <v>0.75</v>
      </c>
      <c r="BU59" s="132">
        <v>0.75</v>
      </c>
      <c r="BV59" s="132">
        <v>0.75</v>
      </c>
      <c r="BW59" s="132">
        <v>0.75</v>
      </c>
      <c r="BX59" s="132">
        <v>0.75</v>
      </c>
      <c r="BY59" s="132">
        <v>0.75</v>
      </c>
      <c r="BZ59" s="132">
        <v>0.75</v>
      </c>
      <c r="CA59" s="132">
        <v>0.75</v>
      </c>
      <c r="CB59" s="132">
        <v>0.75</v>
      </c>
      <c r="CC59" s="132">
        <v>0.75</v>
      </c>
      <c r="CD59" s="132">
        <v>0.75</v>
      </c>
      <c r="CE59" s="132">
        <v>0.75</v>
      </c>
      <c r="CF59" s="132">
        <v>0.75</v>
      </c>
      <c r="CG59" s="132">
        <v>0.75</v>
      </c>
      <c r="CH59" s="132">
        <v>0.75</v>
      </c>
      <c r="CI59" s="132">
        <v>0.75</v>
      </c>
      <c r="CJ59" s="14" t="s">
        <v>2</v>
      </c>
      <c r="CK59" s="14" t="s">
        <v>2</v>
      </c>
      <c r="CL59" s="132">
        <v>0.75</v>
      </c>
      <c r="CM59" s="132">
        <v>0.75</v>
      </c>
      <c r="CN59" s="132">
        <v>0.75</v>
      </c>
      <c r="CO59" s="132">
        <v>0.75</v>
      </c>
      <c r="CP59" s="132">
        <v>0.75</v>
      </c>
      <c r="CQ59" s="132">
        <v>0.75</v>
      </c>
      <c r="CR59" s="132">
        <v>0.75</v>
      </c>
      <c r="CS59" s="132">
        <v>0.75</v>
      </c>
      <c r="CT59" s="132">
        <v>0.75</v>
      </c>
      <c r="CU59" s="132">
        <v>0.75</v>
      </c>
      <c r="CV59" s="132">
        <v>0.75</v>
      </c>
      <c r="CW59" s="132">
        <v>0.75</v>
      </c>
      <c r="CX59" s="132">
        <v>0.75</v>
      </c>
      <c r="CY59" s="132">
        <v>0.75</v>
      </c>
      <c r="CZ59" s="132">
        <v>0.75</v>
      </c>
      <c r="DA59" s="132">
        <v>0.75</v>
      </c>
      <c r="DB59" s="14" t="s">
        <v>2</v>
      </c>
      <c r="DC59" s="132">
        <v>0.75</v>
      </c>
      <c r="DD59" s="132">
        <v>0.75</v>
      </c>
      <c r="DE59" s="132">
        <v>0.75</v>
      </c>
      <c r="DF59" s="132">
        <v>0.75</v>
      </c>
      <c r="DG59" s="132">
        <v>0.75</v>
      </c>
      <c r="DH59" s="132">
        <v>0.75</v>
      </c>
      <c r="DI59" s="132">
        <v>0.75</v>
      </c>
      <c r="DJ59" s="132">
        <v>0.75</v>
      </c>
      <c r="DK59" s="132">
        <v>0.75</v>
      </c>
      <c r="DL59" s="132">
        <v>0.75</v>
      </c>
      <c r="DM59" s="132">
        <v>0.75</v>
      </c>
      <c r="DN59" s="132">
        <v>0.75</v>
      </c>
      <c r="DO59" s="14" t="s">
        <v>2</v>
      </c>
      <c r="DP59" s="14" t="s">
        <v>2</v>
      </c>
      <c r="DQ59" s="132">
        <v>0.75</v>
      </c>
      <c r="DR59" s="132">
        <v>0.75</v>
      </c>
      <c r="DS59" s="132">
        <v>0.75</v>
      </c>
      <c r="DT59" s="132">
        <v>0.75</v>
      </c>
      <c r="DU59" s="14" t="s">
        <v>2</v>
      </c>
      <c r="DV59" s="14" t="s">
        <v>2</v>
      </c>
      <c r="DW59" s="132">
        <v>0.75</v>
      </c>
      <c r="DX59" s="132">
        <v>0.75</v>
      </c>
      <c r="DY59" s="132">
        <v>0.75</v>
      </c>
      <c r="DZ59" s="132">
        <v>0.75</v>
      </c>
    </row>
    <row r="60" spans="1:130" x14ac:dyDescent="0.25">
      <c r="A60" s="11" t="s">
        <v>61</v>
      </c>
      <c r="B60" t="s">
        <v>2</v>
      </c>
      <c r="C60" s="49" t="s">
        <v>2</v>
      </c>
      <c r="D60" s="16" t="s">
        <v>2</v>
      </c>
      <c r="E60" s="16" t="s">
        <v>2</v>
      </c>
      <c r="F60" s="16" t="s">
        <v>2</v>
      </c>
      <c r="G60" s="16" t="s">
        <v>2</v>
      </c>
      <c r="H60" s="16" t="s">
        <v>2</v>
      </c>
      <c r="I60" s="16" t="s">
        <v>2</v>
      </c>
      <c r="J60" s="16" t="s">
        <v>2</v>
      </c>
      <c r="K60" s="20" t="s">
        <v>2</v>
      </c>
      <c r="L60" s="57">
        <v>45540</v>
      </c>
      <c r="M60" s="163" t="s">
        <v>2</v>
      </c>
      <c r="O60" s="335"/>
      <c r="P60" s="14" t="s">
        <v>2</v>
      </c>
      <c r="Q60" s="14" t="s">
        <v>2</v>
      </c>
      <c r="R60" s="14" t="s">
        <v>2</v>
      </c>
      <c r="S60" s="14" t="s">
        <v>2</v>
      </c>
      <c r="T60" s="14" t="s">
        <v>2</v>
      </c>
      <c r="U60" s="14" t="s">
        <v>2</v>
      </c>
      <c r="V60" s="14" t="s">
        <v>2</v>
      </c>
      <c r="W60" s="14" t="s">
        <v>2</v>
      </c>
      <c r="X60" s="14" t="s">
        <v>2</v>
      </c>
      <c r="Y60" s="14" t="s">
        <v>2</v>
      </c>
      <c r="Z60" s="132">
        <v>0.75</v>
      </c>
      <c r="AA60" s="132">
        <v>0.75</v>
      </c>
      <c r="AB60" s="132">
        <v>0.75</v>
      </c>
      <c r="AC60" s="132">
        <v>0.75</v>
      </c>
      <c r="AD60" s="132">
        <v>0.75</v>
      </c>
      <c r="AE60" s="132">
        <v>0.75</v>
      </c>
      <c r="AF60" s="132">
        <v>0.75</v>
      </c>
      <c r="AG60" s="132">
        <v>0.75</v>
      </c>
      <c r="AH60" s="14" t="s">
        <v>2</v>
      </c>
      <c r="AI60" s="132">
        <v>0.75</v>
      </c>
      <c r="AJ60" s="132">
        <v>0.75</v>
      </c>
      <c r="AK60" s="132">
        <v>0.75</v>
      </c>
      <c r="AL60" s="14" t="s">
        <v>2</v>
      </c>
      <c r="AM60" s="132">
        <v>0.75</v>
      </c>
      <c r="AN60" s="132">
        <v>0.75</v>
      </c>
      <c r="AO60" s="132">
        <v>0.75</v>
      </c>
      <c r="AP60" s="132">
        <v>0.75</v>
      </c>
      <c r="AQ60" s="132">
        <v>0.75</v>
      </c>
      <c r="AR60" s="132">
        <v>0.75</v>
      </c>
      <c r="AS60" s="14" t="s">
        <v>2</v>
      </c>
      <c r="AT60" s="132">
        <v>0.75</v>
      </c>
      <c r="AU60" s="132">
        <v>0.75</v>
      </c>
      <c r="AV60" s="132">
        <v>0.75</v>
      </c>
      <c r="AW60" s="132">
        <v>0.75</v>
      </c>
      <c r="AX60" s="132">
        <v>0.75</v>
      </c>
      <c r="AY60" s="132">
        <v>0.75</v>
      </c>
      <c r="AZ60" s="132">
        <v>0.75</v>
      </c>
      <c r="BA60" s="132">
        <v>0.75</v>
      </c>
      <c r="BB60" s="132">
        <v>0.75</v>
      </c>
      <c r="BC60" s="132">
        <v>0.75</v>
      </c>
      <c r="BD60" s="132">
        <v>0.75</v>
      </c>
      <c r="BE60" s="132">
        <v>0.75</v>
      </c>
      <c r="BF60" s="132">
        <v>0.75</v>
      </c>
      <c r="BG60" s="132">
        <v>0.75</v>
      </c>
      <c r="BH60" s="132">
        <v>0.75</v>
      </c>
      <c r="BI60" s="132">
        <v>0.75</v>
      </c>
      <c r="BJ60" s="132">
        <v>0.75</v>
      </c>
      <c r="BK60" s="132">
        <v>0.75</v>
      </c>
      <c r="BL60" s="132">
        <v>0.75</v>
      </c>
      <c r="BM60" s="132">
        <v>0.75</v>
      </c>
      <c r="BN60" s="132">
        <v>0.75</v>
      </c>
      <c r="BO60" s="132">
        <v>0.75</v>
      </c>
      <c r="BP60" s="132">
        <v>0.75</v>
      </c>
      <c r="BQ60" s="132">
        <v>0.75</v>
      </c>
      <c r="BR60" s="132">
        <v>0.75</v>
      </c>
      <c r="BS60" s="132">
        <v>0.75</v>
      </c>
      <c r="BT60" s="132">
        <v>0.75</v>
      </c>
      <c r="BU60" s="132">
        <v>0.75</v>
      </c>
      <c r="BV60" s="132">
        <v>0.75</v>
      </c>
      <c r="BW60" s="132">
        <v>0.75</v>
      </c>
      <c r="BX60" s="132">
        <v>0.75</v>
      </c>
      <c r="BY60" s="132">
        <v>0.75</v>
      </c>
      <c r="BZ60" s="132">
        <v>0.75</v>
      </c>
      <c r="CA60" s="132">
        <v>0.75</v>
      </c>
      <c r="CB60" s="132">
        <v>0.75</v>
      </c>
      <c r="CC60" s="132">
        <v>0.75</v>
      </c>
      <c r="CD60" s="132">
        <v>0.75</v>
      </c>
      <c r="CE60" s="132">
        <v>0.75</v>
      </c>
      <c r="CF60" s="132">
        <v>0.75</v>
      </c>
      <c r="CG60" s="132">
        <v>0.75</v>
      </c>
      <c r="CH60" s="132">
        <v>0.75</v>
      </c>
      <c r="CI60" s="132">
        <v>0.75</v>
      </c>
      <c r="CJ60" s="14" t="s">
        <v>2</v>
      </c>
      <c r="CK60" s="14" t="s">
        <v>2</v>
      </c>
      <c r="CL60" s="132">
        <v>0.75</v>
      </c>
      <c r="CM60" s="132">
        <v>0.75</v>
      </c>
      <c r="CN60" s="132">
        <v>0.75</v>
      </c>
      <c r="CO60" s="132">
        <v>0.75</v>
      </c>
      <c r="CP60" s="132">
        <v>0.75</v>
      </c>
      <c r="CQ60" s="132">
        <v>0.75</v>
      </c>
      <c r="CR60" s="132">
        <v>0.75</v>
      </c>
      <c r="CS60" s="132">
        <v>0.75</v>
      </c>
      <c r="CT60" s="132">
        <v>0.75</v>
      </c>
      <c r="CU60" s="132">
        <v>0.75</v>
      </c>
      <c r="CV60" s="132">
        <v>0.75</v>
      </c>
      <c r="CW60" s="132">
        <v>0.75</v>
      </c>
      <c r="CX60" s="132">
        <v>0.75</v>
      </c>
      <c r="CY60" s="132">
        <v>0.75</v>
      </c>
      <c r="CZ60" s="132">
        <v>0.75</v>
      </c>
      <c r="DA60" s="132">
        <v>0.75</v>
      </c>
      <c r="DB60" s="14" t="s">
        <v>2</v>
      </c>
      <c r="DC60" s="132">
        <v>0.75</v>
      </c>
      <c r="DD60" s="132">
        <v>0.75</v>
      </c>
      <c r="DE60" s="132">
        <v>0.75</v>
      </c>
      <c r="DF60" s="132">
        <v>0.75</v>
      </c>
      <c r="DG60" s="132">
        <v>0.75</v>
      </c>
      <c r="DH60" s="132">
        <v>0.75</v>
      </c>
      <c r="DI60" s="132">
        <v>0.75</v>
      </c>
      <c r="DJ60" s="132">
        <v>0.75</v>
      </c>
      <c r="DK60" s="132">
        <v>0.75</v>
      </c>
      <c r="DL60" s="132">
        <v>0.75</v>
      </c>
      <c r="DM60" s="132">
        <v>0.75</v>
      </c>
      <c r="DN60" s="132">
        <v>0.75</v>
      </c>
      <c r="DO60" s="14" t="s">
        <v>2</v>
      </c>
      <c r="DP60" s="14" t="s">
        <v>2</v>
      </c>
      <c r="DQ60" s="132">
        <v>0.75</v>
      </c>
      <c r="DR60" s="132">
        <v>0.75</v>
      </c>
      <c r="DS60" s="132">
        <v>0.75</v>
      </c>
      <c r="DT60" s="132">
        <v>0.75</v>
      </c>
      <c r="DU60" s="14" t="s">
        <v>2</v>
      </c>
      <c r="DV60" s="14" t="s">
        <v>2</v>
      </c>
      <c r="DW60" s="132">
        <v>0.75</v>
      </c>
      <c r="DX60" s="132">
        <v>0.75</v>
      </c>
      <c r="DY60" s="132">
        <v>0.75</v>
      </c>
      <c r="DZ60" s="132">
        <v>0.75</v>
      </c>
    </row>
    <row r="61" spans="1:130" x14ac:dyDescent="0.25">
      <c r="A61" s="11" t="s">
        <v>62</v>
      </c>
      <c r="B61" t="s">
        <v>2</v>
      </c>
      <c r="C61" s="50" t="s">
        <v>2</v>
      </c>
      <c r="D61" s="17" t="s">
        <v>2</v>
      </c>
      <c r="E61" s="17" t="s">
        <v>2</v>
      </c>
      <c r="F61" s="17" t="s">
        <v>2</v>
      </c>
      <c r="G61" s="17" t="s">
        <v>2</v>
      </c>
      <c r="H61" s="17" t="s">
        <v>2</v>
      </c>
      <c r="I61" s="17" t="s">
        <v>2</v>
      </c>
      <c r="J61" s="17" t="s">
        <v>2</v>
      </c>
      <c r="K61" s="22" t="s">
        <v>2</v>
      </c>
      <c r="L61" s="17" t="s">
        <v>2</v>
      </c>
      <c r="M61" s="23" t="s">
        <v>2</v>
      </c>
      <c r="O61" s="335"/>
      <c r="P61" s="14" t="s">
        <v>2</v>
      </c>
      <c r="Q61" s="14" t="s">
        <v>2</v>
      </c>
      <c r="R61" s="14" t="s">
        <v>2</v>
      </c>
      <c r="S61" s="14" t="s">
        <v>2</v>
      </c>
      <c r="T61" s="14" t="s">
        <v>2</v>
      </c>
      <c r="U61" s="14" t="s">
        <v>2</v>
      </c>
      <c r="V61" s="14" t="s">
        <v>2</v>
      </c>
      <c r="W61" s="14" t="s">
        <v>2</v>
      </c>
      <c r="X61" s="14" t="s">
        <v>2</v>
      </c>
      <c r="Y61" s="14" t="s">
        <v>2</v>
      </c>
      <c r="Z61" s="132">
        <v>0.75</v>
      </c>
      <c r="AA61" s="132">
        <v>0.75</v>
      </c>
      <c r="AB61" s="132">
        <v>0.75</v>
      </c>
      <c r="AC61" s="132">
        <v>0.75</v>
      </c>
      <c r="AD61" s="132">
        <v>0.75</v>
      </c>
      <c r="AE61" s="132">
        <v>0.75</v>
      </c>
      <c r="AF61" s="132">
        <v>0.75</v>
      </c>
      <c r="AG61" s="132">
        <v>0.75</v>
      </c>
      <c r="AH61" s="14" t="s">
        <v>2</v>
      </c>
      <c r="AI61" s="132">
        <v>0.75</v>
      </c>
      <c r="AJ61" s="132">
        <v>0.75</v>
      </c>
      <c r="AK61" s="132">
        <v>0.75</v>
      </c>
      <c r="AL61" s="14" t="s">
        <v>2</v>
      </c>
      <c r="AM61" s="132">
        <v>0.75</v>
      </c>
      <c r="AN61" s="132">
        <v>0.75</v>
      </c>
      <c r="AO61" s="132">
        <v>0.75</v>
      </c>
      <c r="AP61" s="132">
        <v>0.75</v>
      </c>
      <c r="AQ61" s="132">
        <v>0.75</v>
      </c>
      <c r="AR61" s="132">
        <v>0.75</v>
      </c>
      <c r="AS61" s="14" t="s">
        <v>2</v>
      </c>
      <c r="AT61" s="132">
        <v>0.75</v>
      </c>
      <c r="AU61" s="132">
        <v>0.75</v>
      </c>
      <c r="AV61" s="132">
        <v>0.75</v>
      </c>
      <c r="AW61" s="132">
        <v>0.75</v>
      </c>
      <c r="AX61" s="132">
        <v>0.75</v>
      </c>
      <c r="AY61" s="132">
        <v>0.75</v>
      </c>
      <c r="AZ61" s="132">
        <v>0.75</v>
      </c>
      <c r="BA61" s="132">
        <v>0.75</v>
      </c>
      <c r="BB61" s="132">
        <v>0.75</v>
      </c>
      <c r="BC61" s="132">
        <v>0.75</v>
      </c>
      <c r="BD61" s="132">
        <v>0.75</v>
      </c>
      <c r="BE61" s="132">
        <v>0.75</v>
      </c>
      <c r="BF61" s="132">
        <v>0.75</v>
      </c>
      <c r="BG61" s="132">
        <v>0.75</v>
      </c>
      <c r="BH61" s="132">
        <v>0.75</v>
      </c>
      <c r="BI61" s="132">
        <v>0.75</v>
      </c>
      <c r="BJ61" s="132">
        <v>0.75</v>
      </c>
      <c r="BK61" s="132">
        <v>0.75</v>
      </c>
      <c r="BL61" s="132">
        <v>0.75</v>
      </c>
      <c r="BM61" s="132">
        <v>0.75</v>
      </c>
      <c r="BN61" s="132">
        <v>0.75</v>
      </c>
      <c r="BO61" s="132">
        <v>0.75</v>
      </c>
      <c r="BP61" s="132">
        <v>0.75</v>
      </c>
      <c r="BQ61" s="132">
        <v>0.75</v>
      </c>
      <c r="BR61" s="132">
        <v>0.75</v>
      </c>
      <c r="BS61" s="132">
        <v>0.75</v>
      </c>
      <c r="BT61" s="132">
        <v>0.75</v>
      </c>
      <c r="BU61" s="132">
        <v>0.75</v>
      </c>
      <c r="BV61" s="132">
        <v>0.75</v>
      </c>
      <c r="BW61" s="132">
        <v>0.75</v>
      </c>
      <c r="BX61" s="132">
        <v>0.75</v>
      </c>
      <c r="BY61" s="132">
        <v>0.75</v>
      </c>
      <c r="BZ61" s="132">
        <v>0.75</v>
      </c>
      <c r="CA61" s="132">
        <v>0.75</v>
      </c>
      <c r="CB61" s="132">
        <v>0.75</v>
      </c>
      <c r="CC61" s="132">
        <v>0.75</v>
      </c>
      <c r="CD61" s="132">
        <v>0.75</v>
      </c>
      <c r="CE61" s="132">
        <v>0.75</v>
      </c>
      <c r="CF61" s="132">
        <v>0.75</v>
      </c>
      <c r="CG61" s="132">
        <v>0.75</v>
      </c>
      <c r="CH61" s="132">
        <v>0.75</v>
      </c>
      <c r="CI61" s="132">
        <v>0.75</v>
      </c>
      <c r="CJ61" s="14" t="s">
        <v>2</v>
      </c>
      <c r="CK61" s="14" t="s">
        <v>2</v>
      </c>
      <c r="CL61" s="132">
        <v>0.75</v>
      </c>
      <c r="CM61" s="132">
        <v>0.75</v>
      </c>
      <c r="CN61" s="132">
        <v>0.75</v>
      </c>
      <c r="CO61" s="132">
        <v>0.75</v>
      </c>
      <c r="CP61" s="132">
        <v>0.75</v>
      </c>
      <c r="CQ61" s="132">
        <v>0.75</v>
      </c>
      <c r="CR61" s="132">
        <v>0.75</v>
      </c>
      <c r="CS61" s="132">
        <v>0.75</v>
      </c>
      <c r="CT61" s="132">
        <v>0.75</v>
      </c>
      <c r="CU61" s="132">
        <v>0.75</v>
      </c>
      <c r="CV61" s="14" t="s">
        <v>2</v>
      </c>
      <c r="CW61" s="14" t="s">
        <v>2</v>
      </c>
      <c r="CX61" s="132">
        <v>0.75</v>
      </c>
      <c r="CY61" s="132">
        <v>0.75</v>
      </c>
      <c r="CZ61" s="132">
        <v>0.75</v>
      </c>
      <c r="DA61" s="132">
        <v>0.75</v>
      </c>
      <c r="DB61" s="14" t="s">
        <v>2</v>
      </c>
      <c r="DC61" s="132">
        <v>0.75</v>
      </c>
      <c r="DD61" s="132">
        <v>0.75</v>
      </c>
      <c r="DE61" s="14" t="s">
        <v>2</v>
      </c>
      <c r="DF61" s="14" t="s">
        <v>2</v>
      </c>
      <c r="DG61" s="132">
        <v>0.75</v>
      </c>
      <c r="DH61" s="132">
        <v>0.75</v>
      </c>
      <c r="DI61" s="132">
        <v>0.75</v>
      </c>
      <c r="DJ61" s="132">
        <v>0.75</v>
      </c>
      <c r="DK61" s="132">
        <v>0.75</v>
      </c>
      <c r="DL61" s="132">
        <v>0.75</v>
      </c>
      <c r="DM61" s="132">
        <v>0.75</v>
      </c>
      <c r="DN61" s="132">
        <v>0.75</v>
      </c>
      <c r="DO61" s="14" t="s">
        <v>2</v>
      </c>
      <c r="DP61" s="14" t="s">
        <v>2</v>
      </c>
      <c r="DQ61" s="132">
        <v>0.75</v>
      </c>
      <c r="DR61" s="132">
        <v>0.75</v>
      </c>
      <c r="DS61" s="132">
        <v>0.75</v>
      </c>
      <c r="DT61" s="132">
        <v>0.75</v>
      </c>
      <c r="DU61" s="14" t="s">
        <v>2</v>
      </c>
      <c r="DV61" s="14" t="s">
        <v>2</v>
      </c>
      <c r="DW61" s="132">
        <v>0.75</v>
      </c>
      <c r="DX61" s="132">
        <v>0.75</v>
      </c>
      <c r="DY61" s="132">
        <v>0.75</v>
      </c>
      <c r="DZ61" s="132">
        <v>0.75</v>
      </c>
    </row>
    <row r="62" spans="1:130" x14ac:dyDescent="0.25">
      <c r="A62" s="11" t="s">
        <v>63</v>
      </c>
      <c r="B62" t="s">
        <v>2</v>
      </c>
      <c r="O62" s="335"/>
      <c r="P62" s="14"/>
      <c r="Q62" s="14"/>
      <c r="R62" s="14"/>
      <c r="S62" s="14"/>
      <c r="T62" s="14"/>
      <c r="U62" s="14"/>
      <c r="V62" s="14"/>
      <c r="W62" s="14"/>
      <c r="X62" s="14"/>
      <c r="Y62" s="14"/>
      <c r="Z62" s="132">
        <v>0.75</v>
      </c>
      <c r="AA62" s="132">
        <v>0.75</v>
      </c>
      <c r="AB62" s="132">
        <v>0.75</v>
      </c>
      <c r="AC62" s="132">
        <v>0.75</v>
      </c>
      <c r="AD62" s="132">
        <v>0.75</v>
      </c>
      <c r="AE62" s="132">
        <v>0.75</v>
      </c>
      <c r="AF62" s="132">
        <v>0.75</v>
      </c>
      <c r="AG62" s="132">
        <v>0.75</v>
      </c>
      <c r="AH62" s="14" t="s">
        <v>2</v>
      </c>
      <c r="AI62" s="132">
        <v>0.75</v>
      </c>
      <c r="AJ62" s="14" t="s">
        <v>2</v>
      </c>
      <c r="AK62" s="14" t="s">
        <v>2</v>
      </c>
      <c r="AL62" s="14" t="s">
        <v>2</v>
      </c>
      <c r="AM62" s="132">
        <v>0.75</v>
      </c>
      <c r="AN62" s="132">
        <v>0.75</v>
      </c>
      <c r="AO62" s="132">
        <v>0.75</v>
      </c>
      <c r="AP62" s="132">
        <v>0.75</v>
      </c>
      <c r="AQ62" s="132">
        <v>0.75</v>
      </c>
      <c r="AR62" s="132">
        <v>0.75</v>
      </c>
      <c r="AS62" s="14" t="s">
        <v>2</v>
      </c>
      <c r="AT62" s="132">
        <v>0.75</v>
      </c>
      <c r="AU62" s="132">
        <v>0.75</v>
      </c>
      <c r="AV62" s="132">
        <v>0.75</v>
      </c>
      <c r="AW62" s="132">
        <v>0.75</v>
      </c>
      <c r="AX62" s="132">
        <v>0.75</v>
      </c>
      <c r="AY62" s="132">
        <v>0.75</v>
      </c>
      <c r="AZ62" s="132">
        <v>0.75</v>
      </c>
      <c r="BA62" s="132">
        <v>0.75</v>
      </c>
      <c r="BB62" s="132">
        <v>0.75</v>
      </c>
      <c r="BC62" s="132">
        <v>0.75</v>
      </c>
      <c r="BD62" s="14" t="s">
        <v>2</v>
      </c>
      <c r="BE62" s="14" t="s">
        <v>2</v>
      </c>
      <c r="BF62" s="132">
        <v>0.75</v>
      </c>
      <c r="BG62" s="132">
        <v>0.75</v>
      </c>
      <c r="BH62" s="14" t="s">
        <v>2</v>
      </c>
      <c r="BI62" s="14" t="s">
        <v>2</v>
      </c>
      <c r="BJ62" s="14" t="s">
        <v>2</v>
      </c>
      <c r="BK62" s="14" t="s">
        <v>2</v>
      </c>
      <c r="BL62" s="14" t="s">
        <v>2</v>
      </c>
      <c r="BM62" s="14" t="s">
        <v>2</v>
      </c>
      <c r="BN62" s="14" t="s">
        <v>2</v>
      </c>
      <c r="BO62" s="14" t="s">
        <v>2</v>
      </c>
      <c r="BP62" s="14" t="s">
        <v>2</v>
      </c>
      <c r="BQ62" s="14" t="s">
        <v>2</v>
      </c>
      <c r="BR62" s="132">
        <v>0.75</v>
      </c>
      <c r="BS62" s="132">
        <v>0.75</v>
      </c>
      <c r="BT62" s="14" t="s">
        <v>2</v>
      </c>
      <c r="BU62" s="14" t="s">
        <v>2</v>
      </c>
      <c r="BV62" s="132">
        <v>0.75</v>
      </c>
      <c r="BW62" s="132">
        <v>0.75</v>
      </c>
      <c r="BX62" s="14" t="s">
        <v>2</v>
      </c>
      <c r="BY62" s="14" t="s">
        <v>2</v>
      </c>
      <c r="BZ62" s="14" t="s">
        <v>2</v>
      </c>
      <c r="CA62" s="14" t="s">
        <v>2</v>
      </c>
      <c r="CB62" s="132">
        <v>0.75</v>
      </c>
      <c r="CC62" s="132">
        <v>0.75</v>
      </c>
      <c r="CD62" s="132">
        <v>0.75</v>
      </c>
      <c r="CE62" s="132">
        <v>0.75</v>
      </c>
      <c r="CF62" s="132">
        <v>0.75</v>
      </c>
      <c r="CG62" s="132">
        <v>0.75</v>
      </c>
      <c r="CH62" s="132">
        <v>0.75</v>
      </c>
      <c r="CI62" s="132">
        <v>0.75</v>
      </c>
      <c r="CJ62" s="14" t="s">
        <v>2</v>
      </c>
      <c r="CK62" s="14" t="s">
        <v>2</v>
      </c>
      <c r="CL62" s="14" t="s">
        <v>2</v>
      </c>
      <c r="CM62" s="14" t="s">
        <v>2</v>
      </c>
      <c r="CN62" s="14" t="s">
        <v>2</v>
      </c>
      <c r="CO62" s="14" t="s">
        <v>2</v>
      </c>
      <c r="CP62" s="14" t="s">
        <v>2</v>
      </c>
      <c r="CQ62" s="14" t="s">
        <v>2</v>
      </c>
      <c r="CR62" s="14" t="s">
        <v>2</v>
      </c>
      <c r="CS62" s="14" t="s">
        <v>2</v>
      </c>
      <c r="CT62" s="14" t="s">
        <v>2</v>
      </c>
      <c r="CU62" s="14" t="s">
        <v>2</v>
      </c>
      <c r="CV62" s="14" t="s">
        <v>2</v>
      </c>
      <c r="CW62" s="14" t="s">
        <v>2</v>
      </c>
      <c r="CX62" s="14" t="s">
        <v>2</v>
      </c>
      <c r="CY62" s="14" t="s">
        <v>2</v>
      </c>
      <c r="CZ62" s="132">
        <v>0.75</v>
      </c>
      <c r="DA62" s="132">
        <v>0.75</v>
      </c>
      <c r="DB62" s="14" t="s">
        <v>2</v>
      </c>
      <c r="DC62" s="14" t="s">
        <v>2</v>
      </c>
      <c r="DD62" s="14" t="s">
        <v>2</v>
      </c>
      <c r="DE62" s="14" t="s">
        <v>2</v>
      </c>
      <c r="DF62" s="14" t="s">
        <v>2</v>
      </c>
      <c r="DG62" s="132">
        <v>0.7</v>
      </c>
      <c r="DH62" s="132">
        <v>0.7</v>
      </c>
      <c r="DI62" s="132">
        <v>0.7</v>
      </c>
      <c r="DJ62" s="132">
        <v>0.7</v>
      </c>
      <c r="DK62" s="132">
        <v>0.7</v>
      </c>
      <c r="DL62" s="132">
        <v>0.7</v>
      </c>
      <c r="DM62" s="132">
        <v>0.7</v>
      </c>
      <c r="DN62" s="132">
        <v>0.7</v>
      </c>
      <c r="DO62" s="14" t="s">
        <v>2</v>
      </c>
      <c r="DP62" s="14" t="s">
        <v>2</v>
      </c>
      <c r="DQ62" s="14" t="s">
        <v>2</v>
      </c>
      <c r="DR62" s="14" t="s">
        <v>2</v>
      </c>
      <c r="DS62" s="14" t="s">
        <v>2</v>
      </c>
      <c r="DT62" s="14" t="s">
        <v>2</v>
      </c>
      <c r="DU62" s="14" t="s">
        <v>2</v>
      </c>
      <c r="DV62" s="14" t="s">
        <v>2</v>
      </c>
      <c r="DW62" s="14" t="s">
        <v>2</v>
      </c>
      <c r="DX62" s="14" t="s">
        <v>2</v>
      </c>
      <c r="DY62" s="14" t="s">
        <v>2</v>
      </c>
      <c r="DZ62" s="14" t="s">
        <v>2</v>
      </c>
    </row>
    <row r="63" spans="1:130" x14ac:dyDescent="0.25">
      <c r="A63" s="11" t="s">
        <v>64</v>
      </c>
      <c r="B63" t="s">
        <v>2</v>
      </c>
      <c r="C63" s="328" t="s">
        <v>101</v>
      </c>
      <c r="D63" s="329"/>
      <c r="E63" s="329"/>
      <c r="F63" s="329"/>
      <c r="G63" s="329"/>
      <c r="H63" s="329"/>
      <c r="I63" s="329"/>
      <c r="J63" s="329"/>
      <c r="K63" s="329"/>
      <c r="L63" s="329"/>
      <c r="M63" s="330"/>
      <c r="O63" s="336"/>
      <c r="P63" s="15" t="s">
        <v>2</v>
      </c>
      <c r="Q63" s="15" t="s">
        <v>2</v>
      </c>
      <c r="R63" s="15" t="s">
        <v>2</v>
      </c>
      <c r="S63" s="15" t="s">
        <v>2</v>
      </c>
      <c r="T63" s="15" t="s">
        <v>2</v>
      </c>
      <c r="U63" s="15" t="s">
        <v>2</v>
      </c>
      <c r="V63" s="15" t="s">
        <v>2</v>
      </c>
      <c r="W63" s="15" t="s">
        <v>2</v>
      </c>
      <c r="X63" s="15" t="s">
        <v>2</v>
      </c>
      <c r="Y63" s="15" t="s">
        <v>2</v>
      </c>
      <c r="Z63" s="133">
        <v>0.75</v>
      </c>
      <c r="AA63" s="133">
        <v>0.75</v>
      </c>
      <c r="AB63" s="133">
        <v>0.75</v>
      </c>
      <c r="AC63" s="133">
        <v>0.75</v>
      </c>
      <c r="AD63" s="133">
        <v>0.75</v>
      </c>
      <c r="AE63" s="133">
        <v>0.75</v>
      </c>
      <c r="AF63" s="133">
        <v>0.75</v>
      </c>
      <c r="AG63" s="133">
        <v>0.75</v>
      </c>
      <c r="AH63" s="15" t="s">
        <v>2</v>
      </c>
      <c r="AI63" s="133">
        <v>0.75</v>
      </c>
      <c r="AJ63" s="15" t="s">
        <v>2</v>
      </c>
      <c r="AK63" s="15" t="s">
        <v>2</v>
      </c>
      <c r="AL63" s="15" t="s">
        <v>2</v>
      </c>
      <c r="AM63" s="133">
        <v>0.75</v>
      </c>
      <c r="AN63" s="133">
        <v>0.75</v>
      </c>
      <c r="AO63" s="133">
        <v>0.75</v>
      </c>
      <c r="AP63" s="133">
        <v>0.75</v>
      </c>
      <c r="AQ63" s="133">
        <v>0.75</v>
      </c>
      <c r="AR63" s="133">
        <v>0.75</v>
      </c>
      <c r="AS63" s="15" t="s">
        <v>2</v>
      </c>
      <c r="AT63" s="133">
        <v>0.75</v>
      </c>
      <c r="AU63" s="133">
        <v>0.75</v>
      </c>
      <c r="AV63" s="133">
        <v>0.75</v>
      </c>
      <c r="AW63" s="133">
        <v>0.75</v>
      </c>
      <c r="AX63" s="133">
        <v>0.75</v>
      </c>
      <c r="AY63" s="133">
        <v>0.75</v>
      </c>
      <c r="AZ63" s="133">
        <v>0.75</v>
      </c>
      <c r="BA63" s="133">
        <v>0.75</v>
      </c>
      <c r="BB63" s="133">
        <v>0.75</v>
      </c>
      <c r="BC63" s="133">
        <v>0.75</v>
      </c>
      <c r="BD63" s="15" t="s">
        <v>2</v>
      </c>
      <c r="BE63" s="15" t="s">
        <v>2</v>
      </c>
      <c r="BF63" s="133">
        <v>0.75</v>
      </c>
      <c r="BG63" s="133">
        <v>0.75</v>
      </c>
      <c r="BH63" s="15" t="s">
        <v>2</v>
      </c>
      <c r="BI63" s="15" t="s">
        <v>2</v>
      </c>
      <c r="BJ63" s="15" t="s">
        <v>2</v>
      </c>
      <c r="BK63" s="15" t="s">
        <v>2</v>
      </c>
      <c r="BL63" s="15" t="s">
        <v>2</v>
      </c>
      <c r="BM63" s="15" t="s">
        <v>2</v>
      </c>
      <c r="BN63" s="15" t="s">
        <v>2</v>
      </c>
      <c r="BO63" s="15" t="s">
        <v>2</v>
      </c>
      <c r="BP63" s="15" t="s">
        <v>2</v>
      </c>
      <c r="BQ63" s="15" t="s">
        <v>2</v>
      </c>
      <c r="BR63" s="133">
        <v>0.75</v>
      </c>
      <c r="BS63" s="133">
        <v>0.75</v>
      </c>
      <c r="BT63" s="15" t="s">
        <v>2</v>
      </c>
      <c r="BU63" s="15" t="s">
        <v>2</v>
      </c>
      <c r="BV63" s="133">
        <v>0.75</v>
      </c>
      <c r="BW63" s="133">
        <v>0.75</v>
      </c>
      <c r="BX63" s="15" t="s">
        <v>2</v>
      </c>
      <c r="BY63" s="15" t="s">
        <v>2</v>
      </c>
      <c r="BZ63" s="15" t="s">
        <v>2</v>
      </c>
      <c r="CA63" s="15" t="s">
        <v>2</v>
      </c>
      <c r="CB63" s="133">
        <v>0.75</v>
      </c>
      <c r="CC63" s="133">
        <v>0.75</v>
      </c>
      <c r="CD63" s="133">
        <v>0.75</v>
      </c>
      <c r="CE63" s="133">
        <v>0.75</v>
      </c>
      <c r="CF63" s="133">
        <v>0.75</v>
      </c>
      <c r="CG63" s="133">
        <v>0.75</v>
      </c>
      <c r="CH63" s="133">
        <v>0.75</v>
      </c>
      <c r="CI63" s="133">
        <v>0.75</v>
      </c>
      <c r="CJ63" s="15" t="s">
        <v>2</v>
      </c>
      <c r="CK63" s="15" t="s">
        <v>2</v>
      </c>
      <c r="CL63" s="15" t="s">
        <v>2</v>
      </c>
      <c r="CM63" s="15" t="s">
        <v>2</v>
      </c>
      <c r="CN63" s="15" t="s">
        <v>2</v>
      </c>
      <c r="CO63" s="15" t="s">
        <v>2</v>
      </c>
      <c r="CP63" s="15" t="s">
        <v>2</v>
      </c>
      <c r="CQ63" s="15" t="s">
        <v>2</v>
      </c>
      <c r="CR63" s="15" t="s">
        <v>2</v>
      </c>
      <c r="CS63" s="15" t="s">
        <v>2</v>
      </c>
      <c r="CT63" s="15" t="s">
        <v>2</v>
      </c>
      <c r="CU63" s="15" t="s">
        <v>2</v>
      </c>
      <c r="CV63" s="15" t="s">
        <v>2</v>
      </c>
      <c r="CW63" s="15" t="s">
        <v>2</v>
      </c>
      <c r="CX63" s="15" t="s">
        <v>2</v>
      </c>
      <c r="CY63" s="15" t="s">
        <v>2</v>
      </c>
      <c r="CZ63" s="133">
        <v>0.75</v>
      </c>
      <c r="DA63" s="133">
        <v>0.75</v>
      </c>
      <c r="DB63" s="15" t="s">
        <v>2</v>
      </c>
      <c r="DC63" s="15" t="s">
        <v>2</v>
      </c>
      <c r="DD63" s="15" t="s">
        <v>2</v>
      </c>
      <c r="DE63" s="15" t="s">
        <v>2</v>
      </c>
      <c r="DF63" s="15" t="s">
        <v>2</v>
      </c>
      <c r="DG63" s="133">
        <v>0.7</v>
      </c>
      <c r="DH63" s="133">
        <v>0.7</v>
      </c>
      <c r="DI63" s="133">
        <v>0.7</v>
      </c>
      <c r="DJ63" s="133">
        <v>0.7</v>
      </c>
      <c r="DK63" s="133">
        <v>0.7</v>
      </c>
      <c r="DL63" s="133">
        <v>0.7</v>
      </c>
      <c r="DM63" s="133">
        <v>0.7</v>
      </c>
      <c r="DN63" s="133">
        <v>0.7</v>
      </c>
      <c r="DO63" s="15" t="s">
        <v>2</v>
      </c>
      <c r="DP63" s="15" t="s">
        <v>2</v>
      </c>
      <c r="DQ63" s="15" t="s">
        <v>2</v>
      </c>
      <c r="DR63" s="15" t="s">
        <v>2</v>
      </c>
      <c r="DS63" s="15" t="s">
        <v>2</v>
      </c>
      <c r="DT63" s="15" t="s">
        <v>2</v>
      </c>
      <c r="DU63" s="15" t="s">
        <v>2</v>
      </c>
      <c r="DV63" s="15" t="s">
        <v>2</v>
      </c>
      <c r="DW63" s="15" t="s">
        <v>2</v>
      </c>
      <c r="DX63" s="15" t="s">
        <v>2</v>
      </c>
      <c r="DY63" s="15" t="s">
        <v>2</v>
      </c>
      <c r="DZ63" s="15" t="s">
        <v>2</v>
      </c>
    </row>
    <row r="64" spans="1:130" x14ac:dyDescent="0.25">
      <c r="A64" s="11" t="s">
        <v>65</v>
      </c>
      <c r="B64" t="s">
        <v>2</v>
      </c>
      <c r="C64" s="53" t="s">
        <v>2</v>
      </c>
      <c r="D64" s="51" t="s">
        <v>2</v>
      </c>
      <c r="E64" s="51" t="s">
        <v>2</v>
      </c>
      <c r="F64" s="51" t="s">
        <v>2</v>
      </c>
      <c r="G64" s="51" t="s">
        <v>2</v>
      </c>
      <c r="H64" s="51" t="s">
        <v>2</v>
      </c>
      <c r="I64" s="224" t="s">
        <v>364</v>
      </c>
      <c r="J64" s="224" t="s">
        <v>400</v>
      </c>
      <c r="K64" s="224" t="s">
        <v>164</v>
      </c>
      <c r="L64" s="224" t="s">
        <v>164</v>
      </c>
      <c r="M64" s="223" t="s">
        <v>164</v>
      </c>
      <c r="N64" s="164"/>
    </row>
    <row r="65" spans="1:131" x14ac:dyDescent="0.25">
      <c r="A65" s="11" t="s">
        <v>66</v>
      </c>
      <c r="B65" t="s">
        <v>2</v>
      </c>
      <c r="C65" s="53" t="s">
        <v>2</v>
      </c>
      <c r="D65" s="51" t="s">
        <v>2</v>
      </c>
      <c r="E65" s="51" t="s">
        <v>2</v>
      </c>
      <c r="F65" s="51" t="s">
        <v>2</v>
      </c>
      <c r="G65" s="51" t="s">
        <v>2</v>
      </c>
      <c r="H65" s="51" t="s">
        <v>2</v>
      </c>
      <c r="I65" s="224" t="s">
        <v>362</v>
      </c>
      <c r="J65" s="224" t="s">
        <v>364</v>
      </c>
      <c r="K65" s="224" t="s">
        <v>364</v>
      </c>
      <c r="L65" s="224" t="s">
        <v>108</v>
      </c>
      <c r="M65" s="223" t="s">
        <v>108</v>
      </c>
      <c r="N65" s="164"/>
    </row>
    <row r="66" spans="1:131" x14ac:dyDescent="0.25">
      <c r="A66" s="11" t="s">
        <v>67</v>
      </c>
      <c r="B66" t="s">
        <v>2</v>
      </c>
      <c r="C66" s="53" t="s">
        <v>2</v>
      </c>
      <c r="D66" s="51" t="s">
        <v>2</v>
      </c>
      <c r="E66" s="51" t="s">
        <v>2</v>
      </c>
      <c r="F66" s="51" t="s">
        <v>2</v>
      </c>
      <c r="G66" s="51" t="s">
        <v>2</v>
      </c>
      <c r="H66" s="51" t="s">
        <v>2</v>
      </c>
      <c r="I66" s="51" t="s">
        <v>2</v>
      </c>
      <c r="J66" s="224" t="s">
        <v>314</v>
      </c>
      <c r="K66" s="224" t="s">
        <v>314</v>
      </c>
      <c r="L66" s="224" t="s">
        <v>314</v>
      </c>
      <c r="M66" s="223" t="s">
        <v>165</v>
      </c>
      <c r="N66" s="164"/>
    </row>
    <row r="67" spans="1:131" ht="15" customHeight="1" x14ac:dyDescent="0.25">
      <c r="A67" s="11" t="s">
        <v>68</v>
      </c>
      <c r="B67" t="s">
        <v>2</v>
      </c>
      <c r="C67" s="53" t="s">
        <v>2</v>
      </c>
      <c r="D67" s="51" t="s">
        <v>2</v>
      </c>
      <c r="E67" s="51" t="s">
        <v>2</v>
      </c>
      <c r="F67" s="51" t="s">
        <v>2</v>
      </c>
      <c r="G67" s="51" t="s">
        <v>2</v>
      </c>
      <c r="H67" s="51" t="s">
        <v>2</v>
      </c>
      <c r="I67" s="51" t="s">
        <v>2</v>
      </c>
      <c r="J67" s="224" t="s">
        <v>384</v>
      </c>
      <c r="K67" s="224" t="s">
        <v>362</v>
      </c>
      <c r="L67" s="224" t="s">
        <v>384</v>
      </c>
      <c r="M67" s="223" t="s">
        <v>106</v>
      </c>
      <c r="N67" s="164"/>
    </row>
    <row r="68" spans="1:131" x14ac:dyDescent="0.25">
      <c r="A68" s="11" t="s">
        <v>69</v>
      </c>
      <c r="B68" t="s">
        <v>2</v>
      </c>
      <c r="C68" s="53" t="s">
        <v>2</v>
      </c>
      <c r="D68" s="51" t="s">
        <v>2</v>
      </c>
      <c r="E68" s="51" t="s">
        <v>2</v>
      </c>
      <c r="F68" s="51" t="s">
        <v>2</v>
      </c>
      <c r="G68" s="51" t="s">
        <v>2</v>
      </c>
      <c r="H68" s="51" t="s">
        <v>2</v>
      </c>
      <c r="I68" s="51" t="s">
        <v>2</v>
      </c>
      <c r="J68" s="224" t="s">
        <v>362</v>
      </c>
      <c r="K68" s="224" t="s">
        <v>365</v>
      </c>
      <c r="L68" s="224" t="s">
        <v>362</v>
      </c>
      <c r="M68" s="223" t="s">
        <v>107</v>
      </c>
      <c r="N68" s="164"/>
      <c r="EA68" s="25"/>
    </row>
    <row r="69" spans="1:131" x14ac:dyDescent="0.25">
      <c r="A69" s="11" t="s">
        <v>70</v>
      </c>
      <c r="B69" t="s">
        <v>2</v>
      </c>
      <c r="C69" s="53" t="s">
        <v>2</v>
      </c>
      <c r="D69" s="51" t="s">
        <v>2</v>
      </c>
      <c r="E69" s="51" t="s">
        <v>2</v>
      </c>
      <c r="F69" s="51" t="s">
        <v>2</v>
      </c>
      <c r="G69" s="51" t="s">
        <v>2</v>
      </c>
      <c r="H69" s="51" t="s">
        <v>2</v>
      </c>
      <c r="I69" s="51" t="s">
        <v>2</v>
      </c>
      <c r="J69" s="224" t="s">
        <v>400</v>
      </c>
      <c r="K69" s="224" t="s">
        <v>382</v>
      </c>
      <c r="L69" s="224" t="s">
        <v>382</v>
      </c>
      <c r="M69" s="223" t="s">
        <v>167</v>
      </c>
      <c r="N69" s="164"/>
    </row>
    <row r="70" spans="1:131" x14ac:dyDescent="0.25">
      <c r="A70" s="11" t="s">
        <v>71</v>
      </c>
      <c r="B70" t="s">
        <v>2</v>
      </c>
      <c r="C70" s="53" t="s">
        <v>2</v>
      </c>
      <c r="D70" s="51" t="s">
        <v>2</v>
      </c>
      <c r="E70" s="51" t="s">
        <v>2</v>
      </c>
      <c r="F70" s="51" t="s">
        <v>2</v>
      </c>
      <c r="G70" s="51" t="s">
        <v>2</v>
      </c>
      <c r="H70" s="51" t="s">
        <v>2</v>
      </c>
      <c r="I70" s="51" t="s">
        <v>2</v>
      </c>
      <c r="J70" s="224" t="s">
        <v>382</v>
      </c>
      <c r="K70" s="224" t="s">
        <v>383</v>
      </c>
      <c r="L70" s="224" t="s">
        <v>104</v>
      </c>
      <c r="M70" s="213" t="s">
        <v>103</v>
      </c>
      <c r="N70" s="164"/>
    </row>
    <row r="71" spans="1:131" x14ac:dyDescent="0.25">
      <c r="A71" s="11" t="s">
        <v>72</v>
      </c>
      <c r="B71" t="s">
        <v>2</v>
      </c>
      <c r="C71" s="53" t="s">
        <v>2</v>
      </c>
      <c r="D71" s="51" t="s">
        <v>2</v>
      </c>
      <c r="E71" s="51" t="s">
        <v>2</v>
      </c>
      <c r="F71" s="51" t="s">
        <v>2</v>
      </c>
      <c r="G71" s="51" t="s">
        <v>2</v>
      </c>
      <c r="H71" s="51" t="s">
        <v>2</v>
      </c>
      <c r="I71" s="51" t="s">
        <v>2</v>
      </c>
      <c r="J71" s="224" t="s">
        <v>383</v>
      </c>
      <c r="K71" s="224" t="s">
        <v>105</v>
      </c>
      <c r="L71" s="224" t="s">
        <v>105</v>
      </c>
      <c r="M71" s="213" t="s">
        <v>104</v>
      </c>
      <c r="N71" s="164"/>
    </row>
    <row r="72" spans="1:131" x14ac:dyDescent="0.25">
      <c r="A72" s="11" t="s">
        <v>73</v>
      </c>
      <c r="B72" t="s">
        <v>2</v>
      </c>
      <c r="C72" s="53" t="s">
        <v>2</v>
      </c>
      <c r="D72" s="51" t="s">
        <v>2</v>
      </c>
      <c r="E72" s="51" t="s">
        <v>2</v>
      </c>
      <c r="F72" s="51" t="s">
        <v>2</v>
      </c>
      <c r="G72" s="51" t="s">
        <v>2</v>
      </c>
      <c r="H72" s="51" t="s">
        <v>2</v>
      </c>
      <c r="I72" s="51" t="s">
        <v>2</v>
      </c>
      <c r="J72" s="224" t="s">
        <v>105</v>
      </c>
      <c r="K72" s="224" t="s">
        <v>170</v>
      </c>
      <c r="L72" s="224" t="s">
        <v>170</v>
      </c>
      <c r="M72" s="213" t="s">
        <v>105</v>
      </c>
      <c r="N72" s="164"/>
    </row>
    <row r="73" spans="1:131" x14ac:dyDescent="0.25">
      <c r="A73" s="11" t="s">
        <v>74</v>
      </c>
      <c r="B73" t="s">
        <v>2</v>
      </c>
      <c r="C73" s="53" t="s">
        <v>2</v>
      </c>
      <c r="D73" s="51" t="s">
        <v>2</v>
      </c>
      <c r="E73" s="51" t="s">
        <v>2</v>
      </c>
      <c r="F73" s="51" t="s">
        <v>2</v>
      </c>
      <c r="G73" s="51" t="s">
        <v>2</v>
      </c>
      <c r="H73" s="51" t="s">
        <v>2</v>
      </c>
      <c r="I73" s="51" t="s">
        <v>2</v>
      </c>
      <c r="J73" s="224" t="s">
        <v>170</v>
      </c>
      <c r="K73" s="224" t="s">
        <v>266</v>
      </c>
      <c r="L73" s="224" t="s">
        <v>266</v>
      </c>
      <c r="M73" s="213" t="s">
        <v>170</v>
      </c>
      <c r="N73" s="164"/>
    </row>
    <row r="74" spans="1:131" x14ac:dyDescent="0.25">
      <c r="A74" s="11" t="s">
        <v>75</v>
      </c>
      <c r="B74" t="s">
        <v>2</v>
      </c>
      <c r="C74" s="53" t="s">
        <v>2</v>
      </c>
      <c r="D74" s="51" t="s">
        <v>2</v>
      </c>
      <c r="E74" s="51" t="s">
        <v>2</v>
      </c>
      <c r="F74" s="51" t="s">
        <v>2</v>
      </c>
      <c r="G74" s="51" t="s">
        <v>2</v>
      </c>
      <c r="H74" s="51" t="s">
        <v>2</v>
      </c>
      <c r="I74" s="51" t="s">
        <v>2</v>
      </c>
      <c r="J74" s="224" t="s">
        <v>266</v>
      </c>
      <c r="K74" s="224" t="s">
        <v>357</v>
      </c>
      <c r="L74" s="224" t="s">
        <v>315</v>
      </c>
      <c r="M74" s="213" t="s">
        <v>266</v>
      </c>
      <c r="N74" s="164"/>
    </row>
    <row r="75" spans="1:131" x14ac:dyDescent="0.25">
      <c r="A75" s="11" t="s">
        <v>76</v>
      </c>
      <c r="B75" t="s">
        <v>2</v>
      </c>
      <c r="C75" s="53" t="s">
        <v>2</v>
      </c>
      <c r="D75" s="51" t="s">
        <v>2</v>
      </c>
      <c r="E75" s="51" t="s">
        <v>2</v>
      </c>
      <c r="F75" s="51" t="s">
        <v>2</v>
      </c>
      <c r="G75" s="51" t="s">
        <v>2</v>
      </c>
      <c r="H75" s="51" t="s">
        <v>2</v>
      </c>
      <c r="I75" s="51" t="s">
        <v>2</v>
      </c>
      <c r="J75" s="224" t="s">
        <v>402</v>
      </c>
      <c r="K75" s="224" t="s">
        <v>386</v>
      </c>
      <c r="L75" s="224" t="s">
        <v>353</v>
      </c>
      <c r="M75" s="223" t="s">
        <v>173</v>
      </c>
      <c r="N75" s="164"/>
    </row>
    <row r="76" spans="1:131" x14ac:dyDescent="0.25">
      <c r="A76" s="11" t="s">
        <v>77</v>
      </c>
      <c r="B76" t="s">
        <v>2</v>
      </c>
      <c r="C76" s="53" t="s">
        <v>2</v>
      </c>
      <c r="D76" s="51" t="s">
        <v>2</v>
      </c>
      <c r="E76" s="51" t="s">
        <v>2</v>
      </c>
      <c r="F76" s="51" t="s">
        <v>2</v>
      </c>
      <c r="G76" s="51" t="s">
        <v>2</v>
      </c>
      <c r="H76" s="51" t="s">
        <v>2</v>
      </c>
      <c r="I76" s="51" t="s">
        <v>2</v>
      </c>
      <c r="J76" s="224" t="s">
        <v>386</v>
      </c>
      <c r="K76" s="224" t="s">
        <v>353</v>
      </c>
      <c r="L76" s="224" t="s">
        <v>316</v>
      </c>
      <c r="M76" s="213" t="s">
        <v>264</v>
      </c>
      <c r="N76" s="164"/>
    </row>
    <row r="77" spans="1:131" ht="15" customHeight="1" x14ac:dyDescent="0.25">
      <c r="A77" s="11" t="s">
        <v>78</v>
      </c>
      <c r="B77" t="s">
        <v>2</v>
      </c>
      <c r="C77" s="53" t="s">
        <v>2</v>
      </c>
      <c r="D77" s="51" t="s">
        <v>2</v>
      </c>
      <c r="E77" s="51" t="s">
        <v>2</v>
      </c>
      <c r="F77" s="51" t="s">
        <v>2</v>
      </c>
      <c r="G77" s="51" t="s">
        <v>2</v>
      </c>
      <c r="H77" s="51" t="s">
        <v>2</v>
      </c>
      <c r="I77" s="51" t="s">
        <v>2</v>
      </c>
      <c r="J77" s="224" t="s">
        <v>318</v>
      </c>
      <c r="K77" s="224" t="s">
        <v>316</v>
      </c>
      <c r="L77" s="224" t="s">
        <v>317</v>
      </c>
      <c r="M77" s="213" t="s">
        <v>265</v>
      </c>
      <c r="N77" s="164"/>
    </row>
    <row r="78" spans="1:131" x14ac:dyDescent="0.25">
      <c r="A78" s="11" t="s">
        <v>79</v>
      </c>
      <c r="B78" t="s">
        <v>2</v>
      </c>
      <c r="C78" s="53" t="s">
        <v>2</v>
      </c>
      <c r="D78" s="51" t="s">
        <v>2</v>
      </c>
      <c r="E78" s="51" t="s">
        <v>2</v>
      </c>
      <c r="F78" s="51" t="s">
        <v>2</v>
      </c>
      <c r="G78" s="51" t="s">
        <v>2</v>
      </c>
      <c r="H78" s="51" t="s">
        <v>2</v>
      </c>
      <c r="I78" s="51" t="s">
        <v>2</v>
      </c>
      <c r="J78" s="259" t="s">
        <v>439</v>
      </c>
      <c r="K78" s="224" t="s">
        <v>317</v>
      </c>
      <c r="L78" s="224" t="s">
        <v>318</v>
      </c>
      <c r="M78" s="223" t="s">
        <v>169</v>
      </c>
      <c r="N78" s="164"/>
    </row>
    <row r="79" spans="1:131" x14ac:dyDescent="0.25">
      <c r="A79" s="11" t="s">
        <v>80</v>
      </c>
      <c r="B79" t="s">
        <v>2</v>
      </c>
      <c r="C79" s="53" t="s">
        <v>2</v>
      </c>
      <c r="D79" s="51" t="s">
        <v>2</v>
      </c>
      <c r="E79" s="51" t="s">
        <v>2</v>
      </c>
      <c r="F79" s="51" t="s">
        <v>2</v>
      </c>
      <c r="G79" s="51" t="s">
        <v>2</v>
      </c>
      <c r="H79" s="51" t="s">
        <v>2</v>
      </c>
      <c r="I79" s="51" t="s">
        <v>2</v>
      </c>
      <c r="J79" s="51" t="s">
        <v>2</v>
      </c>
      <c r="K79" s="224" t="s">
        <v>318</v>
      </c>
      <c r="L79" s="224" t="s">
        <v>319</v>
      </c>
      <c r="M79" s="163" t="s">
        <v>2</v>
      </c>
    </row>
    <row r="80" spans="1:131" x14ac:dyDescent="0.25">
      <c r="A80" s="12" t="s">
        <v>81</v>
      </c>
      <c r="B80" t="s">
        <v>2</v>
      </c>
      <c r="C80" s="53" t="s">
        <v>2</v>
      </c>
      <c r="D80" s="51" t="s">
        <v>2</v>
      </c>
      <c r="E80" s="51" t="s">
        <v>2</v>
      </c>
      <c r="F80" s="51" t="s">
        <v>2</v>
      </c>
      <c r="G80" s="51" t="s">
        <v>2</v>
      </c>
      <c r="H80" s="51" t="s">
        <v>2</v>
      </c>
      <c r="I80" s="51" t="s">
        <v>2</v>
      </c>
      <c r="J80" s="51" t="s">
        <v>2</v>
      </c>
      <c r="K80" s="20" t="s">
        <v>2</v>
      </c>
      <c r="L80" s="57" t="s">
        <v>351</v>
      </c>
      <c r="M80" s="163" t="s">
        <v>2</v>
      </c>
    </row>
    <row r="81" spans="1:137" x14ac:dyDescent="0.25">
      <c r="B81" t="s">
        <v>2</v>
      </c>
      <c r="C81" s="54" t="s">
        <v>2</v>
      </c>
      <c r="D81" s="52" t="s">
        <v>2</v>
      </c>
      <c r="E81" s="52" t="s">
        <v>2</v>
      </c>
      <c r="F81" s="52" t="s">
        <v>2</v>
      </c>
      <c r="G81" s="52" t="s">
        <v>2</v>
      </c>
      <c r="H81" s="52" t="s">
        <v>2</v>
      </c>
      <c r="I81" s="52" t="s">
        <v>2</v>
      </c>
      <c r="J81" s="52" t="s">
        <v>2</v>
      </c>
      <c r="K81" s="22" t="s">
        <v>2</v>
      </c>
      <c r="L81" s="22" t="s">
        <v>2</v>
      </c>
      <c r="M81" s="23" t="s">
        <v>2</v>
      </c>
    </row>
    <row r="82" spans="1:137" x14ac:dyDescent="0.25">
      <c r="A82" s="9" t="s">
        <v>92</v>
      </c>
      <c r="B82" t="s">
        <v>2</v>
      </c>
      <c r="EG82" s="40" t="s">
        <v>404</v>
      </c>
    </row>
    <row r="83" spans="1:137" x14ac:dyDescent="0.25">
      <c r="A83" s="11" t="s">
        <v>82</v>
      </c>
      <c r="B83" t="s">
        <v>2</v>
      </c>
      <c r="C83" s="331" t="s">
        <v>163</v>
      </c>
      <c r="D83" s="332"/>
      <c r="E83" s="332"/>
      <c r="F83" s="332"/>
      <c r="G83" s="332"/>
      <c r="H83" s="332"/>
      <c r="I83" s="332"/>
      <c r="J83" s="332"/>
      <c r="K83" s="332"/>
      <c r="L83" s="332"/>
      <c r="M83" s="333"/>
    </row>
    <row r="84" spans="1:137" x14ac:dyDescent="0.25">
      <c r="A84" s="12" t="s">
        <v>83</v>
      </c>
      <c r="C84" s="49"/>
      <c r="D84" s="16"/>
      <c r="E84" s="16"/>
      <c r="F84" s="16"/>
      <c r="G84" s="16"/>
      <c r="H84" s="16"/>
      <c r="I84" s="243">
        <v>46315</v>
      </c>
      <c r="J84" s="57">
        <v>46372</v>
      </c>
      <c r="K84" s="57">
        <v>45540</v>
      </c>
      <c r="L84" s="57">
        <v>45267</v>
      </c>
      <c r="M84" s="222">
        <v>44901</v>
      </c>
      <c r="N84" s="164"/>
      <c r="EG84" s="40" t="s">
        <v>418</v>
      </c>
    </row>
    <row r="85" spans="1:137" x14ac:dyDescent="0.25">
      <c r="C85" s="49"/>
      <c r="D85" s="16"/>
      <c r="E85" s="16"/>
      <c r="F85" s="16"/>
      <c r="G85" s="16"/>
      <c r="H85" s="16"/>
      <c r="I85" s="243">
        <v>46315</v>
      </c>
      <c r="J85" s="57">
        <v>45965</v>
      </c>
      <c r="K85" s="57">
        <v>45582</v>
      </c>
      <c r="L85" s="57">
        <v>45237</v>
      </c>
      <c r="M85" s="222">
        <v>44866</v>
      </c>
      <c r="N85" s="164"/>
    </row>
    <row r="86" spans="1:137" x14ac:dyDescent="0.25">
      <c r="A86" s="44"/>
      <c r="C86" s="49"/>
      <c r="D86" s="16"/>
      <c r="E86" s="16"/>
      <c r="F86" s="16"/>
      <c r="G86" s="16"/>
      <c r="H86" s="16"/>
      <c r="I86" s="16"/>
      <c r="J86" s="57">
        <v>46140</v>
      </c>
      <c r="K86" s="57">
        <v>45764</v>
      </c>
      <c r="L86" s="57">
        <v>45400</v>
      </c>
      <c r="M86" s="222">
        <v>44979</v>
      </c>
      <c r="N86" s="164"/>
    </row>
    <row r="87" spans="1:137" ht="15" customHeight="1" x14ac:dyDescent="0.25">
      <c r="C87" s="49"/>
      <c r="D87" s="16"/>
      <c r="E87" s="16"/>
      <c r="F87" s="16"/>
      <c r="G87" s="16"/>
      <c r="H87" s="16"/>
      <c r="I87" s="16"/>
      <c r="J87" s="57">
        <v>46141</v>
      </c>
      <c r="K87" s="57">
        <v>45582</v>
      </c>
      <c r="L87" s="57">
        <v>45406</v>
      </c>
      <c r="M87" s="222">
        <v>45006</v>
      </c>
      <c r="N87" s="164"/>
    </row>
    <row r="88" spans="1:137" x14ac:dyDescent="0.25">
      <c r="C88" s="49"/>
      <c r="D88" s="16"/>
      <c r="E88" s="16"/>
      <c r="F88" s="16"/>
      <c r="G88" s="16"/>
      <c r="H88" s="16"/>
      <c r="I88" s="16"/>
      <c r="J88" s="57">
        <v>45965</v>
      </c>
      <c r="K88" s="57">
        <v>45790</v>
      </c>
      <c r="L88" s="57">
        <v>45239</v>
      </c>
      <c r="M88" s="222">
        <v>44868</v>
      </c>
      <c r="N88" s="164"/>
    </row>
    <row r="89" spans="1:137" x14ac:dyDescent="0.25">
      <c r="C89" s="49"/>
      <c r="D89" s="16"/>
      <c r="E89" s="16"/>
      <c r="F89" s="16"/>
      <c r="G89" s="16"/>
      <c r="H89" s="16"/>
      <c r="I89" s="16"/>
      <c r="J89" s="57">
        <v>46244</v>
      </c>
      <c r="K89" s="57">
        <v>45952</v>
      </c>
      <c r="L89" s="57">
        <v>45461</v>
      </c>
      <c r="M89" s="222">
        <v>45027</v>
      </c>
      <c r="N89" s="164"/>
    </row>
    <row r="90" spans="1:137" x14ac:dyDescent="0.25">
      <c r="B90" t="s">
        <v>2</v>
      </c>
      <c r="C90" s="49"/>
      <c r="D90" s="16"/>
      <c r="E90" s="16"/>
      <c r="F90" s="16"/>
      <c r="G90" s="16"/>
      <c r="H90" s="16"/>
      <c r="I90" s="16"/>
      <c r="J90" s="57">
        <v>46219</v>
      </c>
      <c r="K90" s="57">
        <v>45952</v>
      </c>
      <c r="L90" s="57">
        <v>45461</v>
      </c>
      <c r="M90" s="55">
        <v>45114</v>
      </c>
      <c r="N90" s="164"/>
    </row>
    <row r="91" spans="1:137" x14ac:dyDescent="0.25">
      <c r="C91" s="49"/>
      <c r="D91" s="16"/>
      <c r="E91" s="16"/>
      <c r="F91" s="16"/>
      <c r="G91" s="16"/>
      <c r="H91" s="16"/>
      <c r="I91" s="16"/>
      <c r="J91" s="57">
        <v>46219</v>
      </c>
      <c r="K91" s="57">
        <v>45952</v>
      </c>
      <c r="L91" s="57">
        <v>45461</v>
      </c>
      <c r="M91" s="55">
        <v>45114</v>
      </c>
      <c r="N91" s="164"/>
    </row>
    <row r="92" spans="1:137" x14ac:dyDescent="0.25">
      <c r="C92" s="49"/>
      <c r="D92" s="16"/>
      <c r="E92" s="16"/>
      <c r="F92" s="16"/>
      <c r="G92" s="16"/>
      <c r="H92" s="16"/>
      <c r="I92" s="16"/>
      <c r="J92" s="57">
        <v>46219</v>
      </c>
      <c r="K92" s="57">
        <v>45937</v>
      </c>
      <c r="L92" s="57">
        <v>45610</v>
      </c>
      <c r="M92" s="55">
        <v>45114</v>
      </c>
      <c r="N92" s="164"/>
    </row>
    <row r="93" spans="1:137" x14ac:dyDescent="0.25">
      <c r="C93" s="49"/>
      <c r="D93" s="16"/>
      <c r="E93" s="16"/>
      <c r="F93" s="16"/>
      <c r="G93" s="16"/>
      <c r="H93" s="16"/>
      <c r="I93" s="16"/>
      <c r="J93" s="243" t="s">
        <v>419</v>
      </c>
      <c r="K93" s="57">
        <v>45929</v>
      </c>
      <c r="L93" s="57">
        <v>45524</v>
      </c>
      <c r="M93" s="165">
        <v>45251</v>
      </c>
      <c r="N93" s="164"/>
    </row>
    <row r="94" spans="1:137" x14ac:dyDescent="0.25">
      <c r="C94" s="49"/>
      <c r="D94" s="16"/>
      <c r="E94" s="16"/>
      <c r="F94" s="16"/>
      <c r="G94" s="16"/>
      <c r="H94" s="16"/>
      <c r="I94" s="16"/>
      <c r="J94" s="243">
        <v>46259</v>
      </c>
      <c r="K94" s="57">
        <v>45678</v>
      </c>
      <c r="L94" s="57">
        <v>45314</v>
      </c>
      <c r="M94" s="55">
        <v>45112</v>
      </c>
      <c r="N94" s="164"/>
      <c r="EE94" s="25"/>
    </row>
    <row r="95" spans="1:137" x14ac:dyDescent="0.25">
      <c r="C95" s="49"/>
      <c r="D95" s="16"/>
      <c r="E95" s="16"/>
      <c r="F95" s="16"/>
      <c r="G95" s="16"/>
      <c r="H95" s="16"/>
      <c r="I95" s="16"/>
      <c r="J95" s="57">
        <v>46030</v>
      </c>
      <c r="K95" s="57">
        <v>45932</v>
      </c>
      <c r="L95" s="57">
        <v>45616</v>
      </c>
      <c r="M95" s="222">
        <v>45047</v>
      </c>
      <c r="N95" s="164"/>
    </row>
    <row r="96" spans="1:137" x14ac:dyDescent="0.25">
      <c r="C96" s="49"/>
      <c r="D96" s="16"/>
      <c r="E96" s="16"/>
      <c r="F96" s="16"/>
      <c r="G96" s="16"/>
      <c r="H96" s="16"/>
      <c r="I96" s="16"/>
      <c r="J96" s="243" t="s">
        <v>419</v>
      </c>
      <c r="K96" s="57">
        <v>45897</v>
      </c>
      <c r="L96" s="57">
        <v>45412</v>
      </c>
      <c r="M96" s="55">
        <v>45126</v>
      </c>
      <c r="N96" s="164"/>
    </row>
    <row r="97" spans="3:14" ht="15" customHeight="1" x14ac:dyDescent="0.25">
      <c r="C97" s="49"/>
      <c r="D97" s="16"/>
      <c r="E97" s="16"/>
      <c r="F97" s="16"/>
      <c r="G97" s="16"/>
      <c r="H97" s="16"/>
      <c r="I97" s="16"/>
      <c r="J97" s="243">
        <v>46269</v>
      </c>
      <c r="K97" s="57">
        <v>46028</v>
      </c>
      <c r="L97" s="57">
        <v>45504</v>
      </c>
      <c r="M97" s="55">
        <v>45250</v>
      </c>
      <c r="N97" s="164"/>
    </row>
    <row r="98" spans="3:14" x14ac:dyDescent="0.25">
      <c r="C98" s="49"/>
      <c r="D98" s="16"/>
      <c r="E98" s="16"/>
      <c r="F98" s="16"/>
      <c r="G98" s="16"/>
      <c r="H98" s="16"/>
      <c r="I98" s="16"/>
      <c r="J98" s="243" t="s">
        <v>419</v>
      </c>
      <c r="K98" s="57">
        <v>45909</v>
      </c>
      <c r="L98" s="57">
        <v>45488</v>
      </c>
      <c r="M98" s="222">
        <v>45028</v>
      </c>
      <c r="N98" s="164"/>
    </row>
    <row r="99" spans="3:14" x14ac:dyDescent="0.25">
      <c r="C99" s="49"/>
      <c r="D99" s="16"/>
      <c r="E99" s="16"/>
      <c r="F99" s="16"/>
      <c r="G99" s="16"/>
      <c r="H99" s="16"/>
      <c r="I99" s="16"/>
      <c r="J99" s="16"/>
      <c r="K99" s="57">
        <v>45723</v>
      </c>
      <c r="L99" s="57">
        <v>45406</v>
      </c>
      <c r="M99" s="163" t="s">
        <v>2</v>
      </c>
    </row>
    <row r="100" spans="3:14" x14ac:dyDescent="0.25">
      <c r="C100" s="49"/>
      <c r="D100" s="16"/>
      <c r="E100" s="16"/>
      <c r="F100" s="16"/>
      <c r="G100" s="16"/>
      <c r="H100" s="16"/>
      <c r="I100" s="16"/>
      <c r="J100" s="16"/>
      <c r="K100" s="20" t="s">
        <v>2</v>
      </c>
      <c r="L100" s="57">
        <v>45505</v>
      </c>
      <c r="M100" s="163" t="s">
        <v>2</v>
      </c>
    </row>
    <row r="101" spans="3:14" x14ac:dyDescent="0.25">
      <c r="C101" s="50"/>
      <c r="D101" s="17"/>
      <c r="E101" s="17"/>
      <c r="F101" s="17"/>
      <c r="G101" s="17"/>
      <c r="H101" s="17"/>
      <c r="I101" s="17"/>
      <c r="J101" s="17"/>
      <c r="K101" s="22" t="s">
        <v>2</v>
      </c>
      <c r="L101" s="17"/>
      <c r="M101" s="23" t="s">
        <v>2</v>
      </c>
    </row>
    <row r="105" spans="3:14" x14ac:dyDescent="0.25">
      <c r="C105" s="26"/>
    </row>
    <row r="106" spans="3:14" x14ac:dyDescent="0.25">
      <c r="C106" s="18"/>
    </row>
    <row r="107" spans="3:14" ht="15" customHeight="1" x14ac:dyDescent="0.25">
      <c r="C107" s="18"/>
    </row>
    <row r="108" spans="3:14" x14ac:dyDescent="0.25">
      <c r="C108" s="18"/>
    </row>
    <row r="109" spans="3:14" x14ac:dyDescent="0.25">
      <c r="C109" s="18"/>
    </row>
    <row r="110" spans="3:14" x14ac:dyDescent="0.25">
      <c r="C110" s="18"/>
    </row>
    <row r="111" spans="3:14" x14ac:dyDescent="0.25">
      <c r="C111" s="18"/>
    </row>
    <row r="112" spans="3:14" x14ac:dyDescent="0.25">
      <c r="C112" s="18"/>
    </row>
    <row r="113" spans="3:43" x14ac:dyDescent="0.25">
      <c r="C113" s="18"/>
    </row>
    <row r="114" spans="3:43" x14ac:dyDescent="0.25">
      <c r="C114" s="18"/>
    </row>
    <row r="115" spans="3:43" x14ac:dyDescent="0.25">
      <c r="C115" s="18"/>
    </row>
    <row r="116" spans="3:43" x14ac:dyDescent="0.25">
      <c r="C116" s="18"/>
    </row>
    <row r="117" spans="3:43" ht="15" customHeight="1" x14ac:dyDescent="0.25">
      <c r="C117" s="18"/>
    </row>
    <row r="118" spans="3:43" x14ac:dyDescent="0.25">
      <c r="C118" s="18"/>
      <c r="AM118" s="25"/>
    </row>
    <row r="119" spans="3:43" x14ac:dyDescent="0.25">
      <c r="C119" s="18"/>
    </row>
    <row r="120" spans="3:43" x14ac:dyDescent="0.25">
      <c r="C120" s="18"/>
      <c r="AQ120" s="43"/>
    </row>
    <row r="121" spans="3:43" x14ac:dyDescent="0.25">
      <c r="C121" s="59"/>
    </row>
    <row r="122" spans="3:43" x14ac:dyDescent="0.25">
      <c r="C122" s="18"/>
    </row>
    <row r="123" spans="3:43" x14ac:dyDescent="0.25">
      <c r="C123" s="18"/>
    </row>
    <row r="124" spans="3:43" x14ac:dyDescent="0.25">
      <c r="C124" s="18"/>
    </row>
    <row r="125" spans="3:43" x14ac:dyDescent="0.25">
      <c r="C125" s="18"/>
    </row>
    <row r="126" spans="3:43" x14ac:dyDescent="0.25">
      <c r="C126" s="18"/>
    </row>
    <row r="127" spans="3:43" x14ac:dyDescent="0.25">
      <c r="C127" s="18"/>
    </row>
    <row r="139" spans="27:27" x14ac:dyDescent="0.25">
      <c r="AA139" s="44" t="s">
        <v>146</v>
      </c>
    </row>
  </sheetData>
  <sheetProtection algorithmName="SHA-512" hashValue="fV7kgRrtj7pQGMMKBO8zeZ/XYy7ymBMiBcjhwvXy0PJ8dUK24YLG7yplIY5S7OViVWJRqWLnar36XOz/6GUVdw==" saltValue="clThUQIsE7VVt2gDRi3bgQ==" spinCount="100000" sheet="1" objects="1" scenarios="1"/>
  <mergeCells count="13">
    <mergeCell ref="C23:M23"/>
    <mergeCell ref="C63:M63"/>
    <mergeCell ref="C83:M83"/>
    <mergeCell ref="O47:O54"/>
    <mergeCell ref="C2:M2"/>
    <mergeCell ref="C43:M43"/>
    <mergeCell ref="O7:O9"/>
    <mergeCell ref="O3:O5"/>
    <mergeCell ref="O29:O36"/>
    <mergeCell ref="O38:O45"/>
    <mergeCell ref="O11:O18"/>
    <mergeCell ref="O20:O27"/>
    <mergeCell ref="O56:O63"/>
  </mergeCells>
  <phoneticPr fontId="30" type="noConversion"/>
  <conditionalFormatting sqref="C106:C121">
    <cfRule type="expression" dxfId="33" priority="310">
      <formula>OR(#REF!="Y",#REF!="Y")</formula>
    </cfRule>
  </conditionalFormatting>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1EB9B-83D3-4ED0-A0DD-EE5F9190D8D3}">
  <sheetPr codeName="Sheet2">
    <pageSetUpPr fitToPage="1"/>
  </sheetPr>
  <dimension ref="A1:N140"/>
  <sheetViews>
    <sheetView zoomScale="115" zoomScaleNormal="115" zoomScaleSheetLayoutView="100" workbookViewId="0">
      <selection activeCell="D68" sqref="D68"/>
    </sheetView>
  </sheetViews>
  <sheetFormatPr defaultColWidth="9.140625" defaultRowHeight="12.75" outlineLevelRow="1" x14ac:dyDescent="0.2"/>
  <cols>
    <col min="1" max="1" width="12.7109375" style="82" customWidth="1"/>
    <col min="2" max="2" width="98.85546875" style="82" customWidth="1"/>
    <col min="3" max="3" width="1.140625" style="82" customWidth="1"/>
    <col min="4" max="4" width="27.7109375" style="82" customWidth="1"/>
    <col min="5" max="5" width="1.140625" style="82" customWidth="1"/>
    <col min="6" max="8" width="23.5703125" style="82" customWidth="1"/>
    <col min="9" max="11" width="14.42578125" style="82" customWidth="1"/>
    <col min="12" max="16384" width="9.140625" style="82"/>
  </cols>
  <sheetData>
    <row r="1" spans="2:14" ht="24.95" customHeight="1" x14ac:dyDescent="0.2">
      <c r="B1" s="347" t="s">
        <v>115</v>
      </c>
      <c r="C1" s="79"/>
      <c r="D1" s="80" t="s">
        <v>132</v>
      </c>
      <c r="E1" s="81"/>
    </row>
    <row r="2" spans="2:14" x14ac:dyDescent="0.2">
      <c r="B2" s="348"/>
      <c r="C2" s="79"/>
      <c r="D2" s="80" t="s">
        <v>127</v>
      </c>
      <c r="E2" s="80"/>
      <c r="J2" s="83"/>
    </row>
    <row r="3" spans="2:14" ht="24" customHeight="1" x14ac:dyDescent="0.2">
      <c r="B3" s="84"/>
      <c r="C3" s="79"/>
      <c r="J3" s="83"/>
    </row>
    <row r="4" spans="2:14" x14ac:dyDescent="0.2">
      <c r="B4" s="85" t="s">
        <v>116</v>
      </c>
      <c r="C4" s="86"/>
      <c r="D4" s="87" t="str">
        <f ca="1">IF(CELL("type",RFA!D5)="b","",RFA!D5)</f>
        <v/>
      </c>
      <c r="E4" s="88"/>
      <c r="I4" s="184">
        <v>2</v>
      </c>
      <c r="J4" s="134" t="s">
        <v>433</v>
      </c>
      <c r="K4" s="134"/>
      <c r="L4" s="134"/>
      <c r="M4" s="134"/>
      <c r="N4" s="135"/>
    </row>
    <row r="5" spans="2:14" x14ac:dyDescent="0.2">
      <c r="B5" s="85" t="s">
        <v>117</v>
      </c>
      <c r="C5" s="86"/>
      <c r="D5" s="87" t="str">
        <f ca="1">IF(CELL("type",RFA!D6)="b","",RFA!D6)</f>
        <v/>
      </c>
      <c r="E5" s="88"/>
      <c r="I5" s="345">
        <v>0.05</v>
      </c>
      <c r="J5" s="341" t="s">
        <v>209</v>
      </c>
      <c r="K5" s="341"/>
      <c r="L5" s="341"/>
      <c r="M5" s="341"/>
      <c r="N5" s="342"/>
    </row>
    <row r="6" spans="2:14" x14ac:dyDescent="0.2">
      <c r="B6" s="85" t="s">
        <v>118</v>
      </c>
      <c r="C6" s="86"/>
      <c r="D6" s="89" t="str">
        <f>IFERROR(VLOOKUP(1,RFA!C15:D32,2,FALSE),"")</f>
        <v/>
      </c>
      <c r="E6" s="90"/>
      <c r="I6" s="346"/>
      <c r="J6" s="343"/>
      <c r="K6" s="343"/>
      <c r="L6" s="343"/>
      <c r="M6" s="343"/>
      <c r="N6" s="344"/>
    </row>
    <row r="7" spans="2:14" x14ac:dyDescent="0.2">
      <c r="B7" s="85" t="s">
        <v>8</v>
      </c>
      <c r="C7" s="86"/>
      <c r="D7" s="91">
        <f>SUMIF(RFA!B51:B57,"NC",RFA!C51:C57)</f>
        <v>0</v>
      </c>
      <c r="E7" s="92"/>
      <c r="F7" s="93"/>
      <c r="G7" s="83"/>
      <c r="H7" s="83"/>
      <c r="I7" s="83"/>
      <c r="J7" s="83"/>
    </row>
    <row r="8" spans="2:14" x14ac:dyDescent="0.2">
      <c r="B8" s="85" t="s">
        <v>9</v>
      </c>
      <c r="C8" s="86"/>
      <c r="D8" s="91">
        <f>SUMIF(RFA!B51:B57,"Rehab",RFA!C51:C57)</f>
        <v>0</v>
      </c>
      <c r="E8" s="92"/>
      <c r="F8" s="93"/>
      <c r="G8" s="94"/>
      <c r="H8" s="83"/>
      <c r="I8" s="83"/>
      <c r="J8" s="83"/>
    </row>
    <row r="9" spans="2:14" x14ac:dyDescent="0.2">
      <c r="B9" s="89" t="s">
        <v>119</v>
      </c>
      <c r="C9" s="89"/>
      <c r="D9" s="178">
        <v>0.16</v>
      </c>
      <c r="E9" s="35"/>
      <c r="F9" s="95" t="s">
        <v>429</v>
      </c>
      <c r="I9" s="96"/>
    </row>
    <row r="10" spans="2:14" x14ac:dyDescent="0.2">
      <c r="B10" s="89" t="s">
        <v>221</v>
      </c>
      <c r="C10" s="91"/>
      <c r="D10" s="33">
        <f>RFA!J58</f>
        <v>0</v>
      </c>
      <c r="E10" s="97"/>
      <c r="F10" s="285" t="s">
        <v>426</v>
      </c>
      <c r="I10" s="96"/>
    </row>
    <row r="11" spans="2:14" x14ac:dyDescent="0.2">
      <c r="B11" s="89" t="s">
        <v>120</v>
      </c>
      <c r="C11" s="89"/>
      <c r="D11" s="99">
        <f>D7+D8</f>
        <v>0</v>
      </c>
      <c r="E11" s="100"/>
      <c r="F11" s="286"/>
    </row>
    <row r="12" spans="2:14" x14ac:dyDescent="0.2">
      <c r="B12" s="85" t="s">
        <v>219</v>
      </c>
      <c r="C12" s="85"/>
      <c r="D12" s="136">
        <f>ROUND(D10*D11,I4)</f>
        <v>0</v>
      </c>
      <c r="E12" s="103"/>
      <c r="F12" s="285" t="s">
        <v>426</v>
      </c>
      <c r="G12" s="104"/>
      <c r="H12" s="103"/>
    </row>
    <row r="13" spans="2:14" x14ac:dyDescent="0.2">
      <c r="B13" s="101" t="s">
        <v>287</v>
      </c>
      <c r="C13" s="101"/>
      <c r="D13" s="287">
        <f>IF(H$111&gt;0,J113,IF(AND(SUMIF(RFA!B$51:B$57,"=Rehab",RFA!C$51:C$57)&gt;0,IFERROR(VALUE(LEFT(VLOOKUP(1,Identify,3),4)),0)&gt;=2026,OR(AND(RFA!$D$36="Tax-Exempt Bonds Boost",RFA!$C$36&gt;0),AND(RFA!$D$37="Tax-Exempt Bonds Boost",RFA!$C$37&gt;0))),N(Max_DF_Bond_w_AR_Units)-N(Max_Acq_DF_Bond_w_AR_Units),ROUNDDOWN(D12*D9,0)))</f>
        <v>0</v>
      </c>
      <c r="E13" s="103"/>
      <c r="F13" s="284" t="s">
        <v>427</v>
      </c>
      <c r="G13" s="95"/>
      <c r="H13" s="103"/>
    </row>
    <row r="14" spans="2:14" x14ac:dyDescent="0.2">
      <c r="B14" s="85" t="s">
        <v>222</v>
      </c>
      <c r="C14" s="101"/>
      <c r="D14" s="179" t="s">
        <v>82</v>
      </c>
      <c r="E14" s="103"/>
      <c r="F14" s="95" t="s">
        <v>223</v>
      </c>
      <c r="G14" s="104"/>
      <c r="H14" s="103"/>
    </row>
    <row r="15" spans="2:14" x14ac:dyDescent="0.2">
      <c r="B15" s="105" t="str">
        <f>IF(D14="Yes","Lesser of Appraised Value or Actual Purchase Price of the Entire Property","")</f>
        <v>Lesser of Appraised Value or Actual Purchase Price of the Entire Property</v>
      </c>
      <c r="C15" s="89"/>
      <c r="D15" s="180">
        <v>0</v>
      </c>
      <c r="E15" s="103"/>
      <c r="F15" s="95" t="str">
        <f>IF(D14="Yes","This is the total value/cost of the entire property with land and building; Only enter a value if the proposed development includes the acquisition of a building.","")</f>
        <v>This is the total value/cost of the entire property with land and building; Only enter a value if the proposed development includes the acquisition of a building.</v>
      </c>
      <c r="G15" s="103"/>
      <c r="H15" s="103"/>
    </row>
    <row r="16" spans="2:14" x14ac:dyDescent="0.2">
      <c r="B16" s="105" t="str">
        <f>IF(D14="Yes","Lowest Land Cost Allocation of the Three Land Cost Allocation Methods","")</f>
        <v>Lowest Land Cost Allocation of the Three Land Cost Allocation Methods</v>
      </c>
      <c r="C16" s="89"/>
      <c r="D16" s="180">
        <v>0</v>
      </c>
      <c r="E16" s="103"/>
      <c r="F16" s="95" t="str">
        <f>IF(D14="Yes","This is the lowest of the 3 land cost allocation methods per Exhibit C.1.a.(2).(b).  Only enter a value if the proposed development includes the acquisition of a building.","")</f>
        <v>This is the lowest of the 3 land cost allocation methods per Exhibit C.1.a.(2).(b).  Only enter a value if the proposed development includes the acquisition of a building.</v>
      </c>
      <c r="G16" s="103"/>
      <c r="H16" s="103"/>
    </row>
    <row r="17" spans="2:8" x14ac:dyDescent="0.2">
      <c r="B17" s="85" t="s">
        <v>220</v>
      </c>
      <c r="C17" s="105"/>
      <c r="D17" s="107">
        <f>MIN(D15-D16,-D60)</f>
        <v>0</v>
      </c>
      <c r="E17" s="103"/>
      <c r="F17" s="207" t="str">
        <f>IF(D15-D16=D17,"Difference from above two values.","Taken from value entered below in cell D"&amp;TEXT(ROW(D60),"0"))</f>
        <v>Difference from above two values.</v>
      </c>
      <c r="G17" s="207" t="str">
        <f>IF(D15-D16=D17,IF(AND(MIN(D17,-D60)=D17,D17&lt;-D60),"Bldg Acq costs allocated in TDC below EXCEEDS the limit.",""),"")</f>
        <v/>
      </c>
      <c r="H17" s="103"/>
    </row>
    <row r="18" spans="2:8" hidden="1" x14ac:dyDescent="0.2">
      <c r="B18" s="85"/>
      <c r="C18" s="105"/>
      <c r="D18" s="157"/>
      <c r="E18" s="103"/>
      <c r="F18" s="95"/>
      <c r="H18" s="103"/>
    </row>
    <row r="19" spans="2:8" x14ac:dyDescent="0.2">
      <c r="B19" s="101" t="s">
        <v>288</v>
      </c>
      <c r="C19" s="108"/>
      <c r="D19" s="109">
        <f>IF(AND(SUMIF(RFA!B$51:B$57,"=Rehab",RFA!C$51:C$57)&gt;0,IFERROR(VALUE(LEFT(VLOOKUP(1,Identify,3),4)),0)&gt;=2026,OR(AND(RFA!$D$36="Tax-Exempt Bonds Boost",RFA!$C$36&gt;0),AND(RFA!$D$37="Tax-Exempt Bonds Boost",RFA!$C$37&gt;0))),N(Max_Acq_DF_Bond_w_AR_Units),ROUNDDOWN(D17*D9,0))</f>
        <v>0</v>
      </c>
      <c r="E19" s="103"/>
      <c r="F19" s="95" t="s">
        <v>299</v>
      </c>
      <c r="G19" s="95"/>
      <c r="H19" s="103"/>
    </row>
    <row r="20" spans="2:8" x14ac:dyDescent="0.2">
      <c r="B20" s="101" t="s">
        <v>208</v>
      </c>
      <c r="C20" s="108"/>
      <c r="D20" s="109">
        <f>D13+D19</f>
        <v>0</v>
      </c>
      <c r="E20" s="103"/>
      <c r="F20" s="95" t="s">
        <v>224</v>
      </c>
      <c r="G20" s="95"/>
      <c r="H20" s="103"/>
    </row>
    <row r="21" spans="2:8" x14ac:dyDescent="0.2">
      <c r="B21" s="151" t="s">
        <v>278</v>
      </c>
      <c r="C21" s="152"/>
      <c r="D21" s="153">
        <f>D12+D20</f>
        <v>0</v>
      </c>
      <c r="E21" s="143"/>
      <c r="F21" s="144" t="s">
        <v>237</v>
      </c>
      <c r="G21" s="143"/>
      <c r="H21" s="143"/>
    </row>
    <row r="22" spans="2:8" x14ac:dyDescent="0.2">
      <c r="B22" s="101"/>
      <c r="C22" s="108"/>
      <c r="D22" s="157"/>
      <c r="E22" s="103"/>
      <c r="F22" s="95"/>
      <c r="G22" s="103"/>
      <c r="H22" s="103"/>
    </row>
    <row r="23" spans="2:8" x14ac:dyDescent="0.2">
      <c r="B23" s="101"/>
      <c r="C23" s="108"/>
      <c r="D23" s="157"/>
      <c r="E23" s="103"/>
      <c r="F23" s="95"/>
      <c r="G23" s="103"/>
      <c r="H23" s="103"/>
    </row>
    <row r="24" spans="2:8" x14ac:dyDescent="0.2">
      <c r="B24" s="101" t="s">
        <v>239</v>
      </c>
      <c r="C24" s="108"/>
      <c r="D24" s="109">
        <f>D69</f>
        <v>0</v>
      </c>
      <c r="E24" s="103"/>
      <c r="F24" s="95"/>
      <c r="G24" s="191"/>
      <c r="H24" s="103"/>
    </row>
    <row r="25" spans="2:8" hidden="1" x14ac:dyDescent="0.2">
      <c r="B25" s="101"/>
      <c r="C25" s="108"/>
      <c r="D25" s="157"/>
      <c r="E25" s="103"/>
      <c r="F25" s="95"/>
      <c r="G25" s="191"/>
      <c r="H25" s="103"/>
    </row>
    <row r="26" spans="2:8" x14ac:dyDescent="0.2">
      <c r="B26" s="89" t="s">
        <v>245</v>
      </c>
      <c r="C26" s="108"/>
      <c r="D26" s="180">
        <v>0</v>
      </c>
      <c r="E26" s="103"/>
      <c r="F26" s="95" t="s">
        <v>213</v>
      </c>
      <c r="G26" s="191"/>
      <c r="H26" s="103"/>
    </row>
    <row r="27" spans="2:8" x14ac:dyDescent="0.2">
      <c r="B27" s="89" t="s">
        <v>122</v>
      </c>
      <c r="C27" s="108"/>
      <c r="D27" s="145">
        <f>IF(D24=0,0,D26/D24)</f>
        <v>0</v>
      </c>
      <c r="E27" s="103"/>
      <c r="F27" s="95" t="s">
        <v>213</v>
      </c>
      <c r="G27" s="191"/>
      <c r="H27" s="103"/>
    </row>
    <row r="28" spans="2:8" x14ac:dyDescent="0.2">
      <c r="B28" s="290" t="str">
        <f>"Maximum Developer Fee Based on "&amp;IF(AND(SUMIF(RFA!B$51:B$57,"=Rehab",RFA!C$51:C$57)&gt;0,IFERROR(VALUE(LEFT(VLOOKUP(1,Identify,3),4)),0)&gt;=2026,OR(AND(RFA!$D$36="Tax-Exempt Bonds Boost",RFA!$C$36&gt;0),AND(RFA!$D$37="Tax-Exempt Bonds Boost",RFA!$C$37&gt;0))),"the lessor of 18% or the 36% / 18% / 9% sublimit subcomponents",TEXT(D9,"0%")&amp;" Fee Limit")</f>
        <v>Maximum Developer Fee Based on 16% Fee Limit</v>
      </c>
      <c r="C28" s="291"/>
      <c r="D28" s="292">
        <f>IF(AND(SUMIF(RFA!B$51:B$57,"=Rehab",RFA!C$51:C$57)&gt;0,IFERROR(VALUE(LEFT(VLOOKUP(1,Identify,3),4)),0)&gt;=2026,OR(AND(RFA!$D$36="Tax-Exempt Bonds Boost",RFA!$C$36&gt;0),AND(RFA!$D$37="Tax-Exempt Bonds Boost",RFA!$C$37&gt;0))),D139,IF(D9&lt;&gt;21%,ROUNDDOWN(D24*D9,0),ROUNDDOWN(D24*16%,0)+ROUNDDOWN(D24*I5,0)))</f>
        <v>0</v>
      </c>
      <c r="E28" s="103"/>
      <c r="F28" s="95" t="s">
        <v>213</v>
      </c>
      <c r="G28" s="191" t="str">
        <f>IF(D$58&lt;1,"","( Stated Development Costs of "&amp;TEXT(D24,"$#,##0.00")&amp;" x "&amp;TEXT(IF($D9&lt;&gt;21%,$D9,16%),"0%")&amp;", rounded down to nearest $1 )"&amp;IF($D9&lt;&gt;21%,""," + "&amp;TEXT(D24,"$#,##0.00")&amp;" x "&amp;TEXT($I5,"0%")&amp;", rounded down to nearest $1 )"))</f>
        <v/>
      </c>
      <c r="H28" s="103"/>
    </row>
    <row r="29" spans="2:8" x14ac:dyDescent="0.2">
      <c r="B29" s="110" t="s">
        <v>246</v>
      </c>
      <c r="C29" s="108"/>
      <c r="D29" s="171">
        <f>IF(D28&gt;=D26,0,D28-D26)</f>
        <v>0</v>
      </c>
      <c r="E29" s="103"/>
      <c r="F29" s="95" t="s">
        <v>213</v>
      </c>
      <c r="G29" s="191" t="str">
        <f>IF(OR(D$58&lt;1,D$29=0),"","( Maximum % DF of "&amp;TEXT(D28,"$#,##0.00")&amp;", less initial stated DF of "&amp;TEXT(D26,"$#,##0.00")&amp;" )")</f>
        <v/>
      </c>
      <c r="H29" s="103"/>
    </row>
    <row r="30" spans="2:8" x14ac:dyDescent="0.2">
      <c r="B30" s="89" t="str">
        <f>"Stated DF within "&amp;IF(D29=0,"Actual","Adjusted")&amp;" Stated Overall Total Development Costs, after % Fee in 1.b.(1)"</f>
        <v>Stated DF within Actual Stated Overall Total Development Costs, after % Fee in 1.b.(1)</v>
      </c>
      <c r="C30" s="108"/>
      <c r="D30" s="172">
        <f>D26+D29</f>
        <v>0</v>
      </c>
      <c r="E30" s="103"/>
      <c r="F30" s="95" t="s">
        <v>213</v>
      </c>
      <c r="G30" s="191" t="str">
        <f>IF(OR(D$58&lt;1,D$29=0),"","( Initial stated DF "&amp;TEXT(D26,"$#,##0.00")&amp;", less 1st Adjustment of "&amp;TEXT(-D29,"$#,##0.00")&amp;" )")</f>
        <v/>
      </c>
      <c r="H30" s="103"/>
    </row>
    <row r="31" spans="2:8" x14ac:dyDescent="0.2">
      <c r="B31" s="110" t="s">
        <v>303</v>
      </c>
      <c r="C31" s="108"/>
      <c r="D31" s="171" t="str">
        <f>IF(D30&gt;D20,D20-D30,"NA  ")</f>
        <v xml:space="preserve">NA  </v>
      </c>
      <c r="E31" s="103"/>
      <c r="F31" s="95" t="s">
        <v>213</v>
      </c>
      <c r="G31" s="191" t="str">
        <f>IF(D30&gt;D20,"( The stated % Fee limit of "&amp;TEXT(D30,"$#,##0.00")&amp;", less the Total Maximum Developer Fee of "&amp;TEXT(D20,"$#,##0.00")&amp;" )","")</f>
        <v/>
      </c>
      <c r="H31" s="103"/>
    </row>
    <row r="32" spans="2:8" x14ac:dyDescent="0.2">
      <c r="B32" s="89" t="s">
        <v>302</v>
      </c>
      <c r="C32" s="108"/>
      <c r="D32" s="170">
        <f>D30+N(D31)</f>
        <v>0</v>
      </c>
      <c r="E32" s="103"/>
      <c r="F32" s="95" t="s">
        <v>213</v>
      </c>
      <c r="G32" s="191" t="str">
        <f>IF(N(D31)=0,"( The previously stated DF )","( The previously stated DF of "&amp;TEXT(D30,"$#,##0.00")&amp;", less the excess fee of "&amp;TEXT(-N(D31),"$#,##0.00")&amp;" )")</f>
        <v>( The previously stated DF )</v>
      </c>
      <c r="H32" s="103"/>
    </row>
    <row r="33" spans="2:9" x14ac:dyDescent="0.2">
      <c r="B33" s="89" t="s">
        <v>286</v>
      </c>
      <c r="C33" s="108"/>
      <c r="D33" s="111">
        <f>D71+D29+N(D31)</f>
        <v>0</v>
      </c>
      <c r="E33" s="103"/>
      <c r="F33" s="95" t="s">
        <v>214</v>
      </c>
      <c r="G33" s="192" t="str">
        <f>IF(D$24&lt;1,"","( "&amp;IF(D29+N(D31)=0,"Same as Initial Net Stated TDC, as provided on row "&amp;TEXT(ROW(D71),"0"),"Initial Net Stated TDC ["&amp;TEXT(D71,"$#,##0.00")&amp;"], less the 1st Adjustment"&amp;IF(N(D31)&lt;0,"s","")&amp;" of "&amp;TEXT(-D29,"$#,##0.00"))&amp;IF(N(D31)&lt;0," and "&amp;TEXT(-N(D31),"$#,##0.00"),"")&amp;" )")</f>
        <v/>
      </c>
      <c r="H33" s="103"/>
    </row>
    <row r="34" spans="2:9" x14ac:dyDescent="0.2">
      <c r="B34" s="89" t="str">
        <f>IF(D29=0,"Actual","Adjusted")&amp;" Stated Overall Total Development Costs, after 1.b.(1)"</f>
        <v>Actual Stated Overall Total Development Costs, after 1.b.(1)</v>
      </c>
      <c r="C34" s="108"/>
      <c r="D34" s="170">
        <f>D58+D29+N(D31)</f>
        <v>0</v>
      </c>
      <c r="E34" s="103"/>
      <c r="F34" s="95" t="s">
        <v>213</v>
      </c>
      <c r="G34" s="191" t="str">
        <f>IF(OR($D$58&lt;1,D$29+N(D31)=0),"","( Initial TDC of "&amp;TEXT($D58,"$#,##0.00")&amp;", less the 1st Adjustment"&amp;IF(N(D31)&lt;0,"s","")&amp;" of "&amp;TEXT(-D29,"$#,##0.00")&amp;IF(N(D31)&lt;0," and "&amp;TEXT(-N(D31),"$#,##0.00"),"")&amp;" )")</f>
        <v/>
      </c>
      <c r="H34" s="103"/>
    </row>
    <row r="35" spans="2:9" x14ac:dyDescent="0.2">
      <c r="B35" s="89"/>
      <c r="C35" s="108"/>
      <c r="D35" s="170"/>
      <c r="E35" s="103"/>
      <c r="F35" s="95"/>
      <c r="G35" s="206"/>
      <c r="H35" s="103"/>
    </row>
    <row r="36" spans="2:9" x14ac:dyDescent="0.2">
      <c r="B36" s="101" t="s">
        <v>250</v>
      </c>
      <c r="C36" s="108"/>
      <c r="D36" s="155" t="str">
        <f>IF(D21&gt;=D41,"Yes","No")</f>
        <v>Yes</v>
      </c>
      <c r="E36" s="103"/>
      <c r="F36" s="95" t="s">
        <v>254</v>
      </c>
      <c r="G36" s="206"/>
      <c r="H36" s="103"/>
    </row>
    <row r="37" spans="2:9" hidden="1" x14ac:dyDescent="0.2">
      <c r="B37" s="89"/>
      <c r="C37" s="108"/>
      <c r="D37" s="196"/>
      <c r="E37" s="103"/>
      <c r="F37" s="95"/>
      <c r="G37" s="206"/>
      <c r="H37" s="103"/>
    </row>
    <row r="38" spans="2:9" hidden="1" x14ac:dyDescent="0.2">
      <c r="B38" s="89"/>
      <c r="C38" s="108"/>
      <c r="D38" s="196"/>
      <c r="E38" s="103"/>
      <c r="F38" s="95"/>
      <c r="G38" s="206"/>
      <c r="H38" s="103"/>
    </row>
    <row r="39" spans="2:9" hidden="1" x14ac:dyDescent="0.2">
      <c r="B39" s="89"/>
      <c r="C39" s="108"/>
      <c r="D39" s="196"/>
      <c r="E39" s="103"/>
      <c r="F39" s="95"/>
      <c r="G39" s="206"/>
      <c r="H39" s="103"/>
    </row>
    <row r="40" spans="2:9" x14ac:dyDescent="0.2">
      <c r="B40" s="89" t="s">
        <v>284</v>
      </c>
      <c r="C40" s="108"/>
      <c r="D40" s="170">
        <f>D34</f>
        <v>0</v>
      </c>
      <c r="E40" s="103"/>
      <c r="F40" s="95"/>
      <c r="G40" s="206" t="str">
        <f>IF(N(D40)=0,"","( The previously stated overall TDC )")</f>
        <v/>
      </c>
      <c r="H40" s="103"/>
    </row>
    <row r="41" spans="2:9" x14ac:dyDescent="0.2">
      <c r="B41" s="101" t="s">
        <v>247</v>
      </c>
      <c r="C41" s="108"/>
      <c r="D41" s="154">
        <f>D71+D29+N(D31)</f>
        <v>0</v>
      </c>
      <c r="E41" s="103"/>
      <c r="F41" s="95" t="s">
        <v>214</v>
      </c>
      <c r="G41" s="206" t="str">
        <f>IF(N(D41)=0,"","( The previously stated Net TDC )")</f>
        <v/>
      </c>
      <c r="H41" s="103"/>
    </row>
    <row r="42" spans="2:9" x14ac:dyDescent="0.2">
      <c r="B42" s="85" t="s">
        <v>279</v>
      </c>
      <c r="C42" s="108"/>
      <c r="D42" s="187" t="str">
        <f>IF(D$36="Yes","NA  ",IF(D41&gt;D21,(D41-D21),0))</f>
        <v xml:space="preserve">NA  </v>
      </c>
      <c r="E42" s="103"/>
      <c r="F42" s="95" t="s">
        <v>280</v>
      </c>
      <c r="G42" s="206" t="str">
        <f>IF(OR(D$36="Yes",D41&lt;=D21),"","( The previously stated Net TDC of "&amp;TEXT(D41,"$#,##0.00")&amp;", less the Development's Maximum TDC Component of "&amp;TEXT(D21,"$#,##0.00")&amp;" )")</f>
        <v/>
      </c>
      <c r="H42" s="103"/>
    </row>
    <row r="43" spans="2:9" x14ac:dyDescent="0.2">
      <c r="B43" s="89" t="s">
        <v>251</v>
      </c>
      <c r="C43" s="108"/>
      <c r="D43" s="188" t="str">
        <f>IF(D$36="Yes","NA  ",750000)</f>
        <v xml:space="preserve">NA  </v>
      </c>
      <c r="E43" s="103"/>
      <c r="F43" s="95" t="s">
        <v>281</v>
      </c>
      <c r="G43" s="206"/>
      <c r="H43" s="103"/>
    </row>
    <row r="44" spans="2:9" x14ac:dyDescent="0.2">
      <c r="B44" s="85" t="s">
        <v>212</v>
      </c>
      <c r="C44" s="108"/>
      <c r="D44" s="188" t="str">
        <f>IF(D$36="Yes","NA  ",ROUND(D20*0.25,I4))</f>
        <v xml:space="preserve">NA  </v>
      </c>
      <c r="E44" s="103"/>
      <c r="F44" s="95" t="s">
        <v>282</v>
      </c>
      <c r="G44" s="206" t="str">
        <f>IF(D$36="Yes","","( Total Maximum Developer Fee of "&amp;TEXT(D20,"$#,##0.00")&amp;" x 25%, rounded to nearest "&amp;CHOOSE(I4+1,"dollar","dime","penny")&amp;" )")</f>
        <v/>
      </c>
      <c r="H44" s="103"/>
    </row>
    <row r="45" spans="2:9" x14ac:dyDescent="0.2">
      <c r="B45" s="110" t="s">
        <v>259</v>
      </c>
      <c r="C45" s="117"/>
      <c r="D45" s="171" t="str">
        <f>IF(D$36="Yes","NA  ",-IF(D41&gt;D21,(MIN(D42,D43,D44)),0))</f>
        <v xml:space="preserve">NA  </v>
      </c>
      <c r="E45" s="103"/>
      <c r="F45" s="95" t="s">
        <v>214</v>
      </c>
      <c r="G45" s="95" t="str">
        <f>IF(N(D45)=0,"","( The lesser of "&amp;TEXT(MIN(N(D42),N(D43),N(D44)),"$#,##0.00")&amp;", "&amp;TEXT(IF(AND(N(D42)&lt;=N(D43),N(D43)&lt;=N(D44)),N(D43),IF(AND(N(D43)&lt;=N(D42),N(D42)&lt;=N(D44)),N(D42),IF(AND(N(D44)&lt;N(D42),N(D44)&lt;N(D43)),IF(N(D43)&lt;N(D42),N(D43),N(D42)),N(D44)))),"$#,##0.00")&amp;" or "&amp;TEXT(MAX(N(D42),N(D43),N(D44)),"$#,##0.00")&amp;" )")</f>
        <v/>
      </c>
      <c r="H45" s="103"/>
    </row>
    <row r="46" spans="2:9" x14ac:dyDescent="0.2">
      <c r="B46" s="85" t="s">
        <v>252</v>
      </c>
      <c r="C46" s="117"/>
      <c r="D46" s="173">
        <f>D20+N(D45)</f>
        <v>0</v>
      </c>
      <c r="E46" s="103"/>
      <c r="F46" s="95" t="s">
        <v>214</v>
      </c>
      <c r="G46" s="95" t="str">
        <f>"( The Maximum Developer Fee of "&amp;TEXT(D20,"$#,##0.00")&amp;IF(N(D45)=0," with no downward adjustment",", less the adjustment amount of "&amp;TEXT(-N(D45),"$#,##0.00"))&amp;" )"</f>
        <v>( The Maximum Developer Fee of $0.00 with no downward adjustment )</v>
      </c>
      <c r="H46" s="103"/>
      <c r="I46" s="103"/>
    </row>
    <row r="47" spans="2:9" x14ac:dyDescent="0.2">
      <c r="B47" s="85" t="s">
        <v>253</v>
      </c>
      <c r="C47" s="117"/>
      <c r="D47" s="174" t="str">
        <f>IF(D46&gt;=D32,"Yes","No")</f>
        <v>Yes</v>
      </c>
      <c r="E47" s="103"/>
      <c r="F47" s="95" t="s">
        <v>254</v>
      </c>
      <c r="G47" s="95"/>
      <c r="H47" s="103"/>
    </row>
    <row r="48" spans="2:9" x14ac:dyDescent="0.2">
      <c r="B48" s="110" t="s">
        <v>255</v>
      </c>
      <c r="C48" s="117"/>
      <c r="D48" s="189" t="str">
        <f>IF(D47="Yes","NA  ",IF(D46-D32&lt;0,D46-D32,0))</f>
        <v xml:space="preserve">NA  </v>
      </c>
      <c r="E48" s="103"/>
      <c r="F48" s="95"/>
      <c r="G48" s="106" t="str">
        <f>IF(N(D48)=0,"","( The previously stated DF of "&amp;TEXT(N(D32),"$#,##0.00")&amp;", less the Maximum Developer Fee of "&amp;TEXT(N(D46),"$#,##0.00")&amp;" )")</f>
        <v/>
      </c>
      <c r="H48" s="103"/>
    </row>
    <row r="49" spans="2:9" x14ac:dyDescent="0.2">
      <c r="B49" s="89" t="s">
        <v>256</v>
      </c>
      <c r="C49" s="117"/>
      <c r="D49" s="173">
        <f>D32+N(D48)</f>
        <v>0</v>
      </c>
      <c r="E49" s="103"/>
      <c r="F49" s="95"/>
      <c r="G49" s="95" t="str">
        <f>IF(N(D48)=0,"","( The previously stated DF of "&amp;TEXT(N(D32),"$#,##0.00")&amp;", less the adjustment amount of "&amp;TEXT(-N(D48),"$#,##0.00")&amp;" )")</f>
        <v/>
      </c>
      <c r="H49" s="103"/>
    </row>
    <row r="50" spans="2:9" x14ac:dyDescent="0.2">
      <c r="B50" s="89" t="s">
        <v>257</v>
      </c>
      <c r="C50" s="117"/>
      <c r="D50" s="173">
        <f>D40+N(D48)</f>
        <v>0</v>
      </c>
      <c r="E50" s="103"/>
      <c r="F50" s="95"/>
      <c r="G50" s="95" t="str">
        <f>IF(N(D48)=0,"","( The previously stated stated overall TDC of "&amp;TEXT(N(D34),"$#,##0.00")&amp;", less the adjustment amount of "&amp;TEXT(-N(D48),"$#,##0.00")&amp;" )")</f>
        <v/>
      </c>
      <c r="H50" s="103"/>
    </row>
    <row r="51" spans="2:9" x14ac:dyDescent="0.2">
      <c r="B51" s="85"/>
      <c r="C51" s="117"/>
      <c r="D51" s="173"/>
      <c r="E51" s="103"/>
      <c r="F51" s="95"/>
      <c r="G51" s="95"/>
      <c r="H51" s="103"/>
    </row>
    <row r="52" spans="2:9" ht="13.5" thickBot="1" x14ac:dyDescent="0.25">
      <c r="B52" s="89" t="s">
        <v>276</v>
      </c>
      <c r="C52" s="156"/>
      <c r="D52" s="175">
        <f>D41+N(D48)</f>
        <v>0</v>
      </c>
      <c r="E52" s="140"/>
      <c r="F52" s="141" t="s">
        <v>214</v>
      </c>
      <c r="G52" s="141"/>
      <c r="H52" s="141"/>
    </row>
    <row r="53" spans="2:9" x14ac:dyDescent="0.2">
      <c r="B53" s="101"/>
      <c r="C53" s="108"/>
      <c r="D53" s="109"/>
      <c r="E53" s="103"/>
      <c r="F53" s="95"/>
      <c r="G53" s="95"/>
      <c r="H53" s="111"/>
    </row>
    <row r="54" spans="2:9" x14ac:dyDescent="0.2">
      <c r="B54" s="294" t="str">
        <f>IF(AND(SUMIF(RFA!B$51:B$57,"=Rehab",RFA!C$51:C$57)&gt;0,IFERROR(VALUE(LEFT(VLOOKUP(1,Identify,3),4)),0)&gt;=2026,OR(AND(RFA!$D$36="Tax-Exempt Bonds Boost",RFA!$C$36&gt;0),AND(RFA!$D$37="Tax-Exempt Bonds Boost",RFA!$C$37&gt;0))),"Actual Stated NC Hard Costs as part of the Overall Total Development Costs","")</f>
        <v/>
      </c>
      <c r="C54" s="108"/>
      <c r="D54" s="288" t="str">
        <f>IF(AND(SUMIF(RFA!B$51:B$57,"=Rehab",RFA!C$51:C$57)&gt;0,IFERROR(VALUE(LEFT(VLOOKUP(1,Identify,3),4)),0)&gt;=2026,OR(AND(RFA!$D$36="Tax-Exempt Bonds Boost",RFA!$C$36&gt;0),AND(RFA!$D$37="Tax-Exempt Bonds Boost",RFA!$C$37&gt;0))),ROUND((D$58-D$57-D$26)*75%*(SUMIF(RFA!B$51:B$57,"=NC",RFA!C$51:C$57)/RFA!C$58),0),"")</f>
        <v/>
      </c>
      <c r="E54" s="103"/>
      <c r="F54" s="284" t="str">
        <f>IF(AND(SUMIF(RFA!B$51:B$57,"=Rehab",RFA!C$51:C$57)&gt;0,IFERROR(VALUE(LEFT(VLOOKUP(1,Identify,3),4)),0)&gt;=2026,OR(AND(RFA!$D$36="Tax-Exempt Bonds Boost",RFA!$C$36&gt;0),AND(RFA!$D$37="Tax-Exempt Bonds Boost",RFA!$C$37&gt;0))),_xlfn._LONGTEXT("If 100% NC, this should be the total listed in the Construction Cost table in the CUR. Otherwise it should only be ""New Rental Units"" along with any 100% new construction line items (if any) plus a prorata share of shared costs like GC fee, PnP Bond, or c","ontingency."),"")</f>
        <v/>
      </c>
      <c r="G54" s="95"/>
      <c r="H54" s="111"/>
    </row>
    <row r="55" spans="2:9" x14ac:dyDescent="0.2">
      <c r="B55" s="294" t="str">
        <f>IF(AND(SUMIF(RFA!B$51:B$57,"=Rehab",RFA!C$51:C$57)&gt;0,IFERROR(VALUE(LEFT(VLOOKUP(1,Identify,3),4)),0)&gt;=2026,OR(AND(RFA!$D$36="Tax-Exempt Bonds Boost",RFA!$C$36&gt;0),AND(RFA!$D$37="Tax-Exempt Bonds Boost",RFA!$C$37&gt;0))),"Actual Stated AR Hard Costs as part of the Overall Total Development Costs","")</f>
        <v/>
      </c>
      <c r="C55" s="108"/>
      <c r="D55" s="288" t="str">
        <f>IF(AND(SUMIF(RFA!B$51:B$57,"=Rehab",RFA!C$51:C$57)&gt;0,IFERROR(VALUE(LEFT(VLOOKUP(1,Identify,3),4)),0)&gt;=2026,OR(AND(RFA!$D$36="Tax-Exempt Bonds Boost",RFA!$C$36&gt;0),AND(RFA!$D$37="Tax-Exempt Bonds Boost",RFA!$C$37&gt;0))),ROUND((D$58-D$57-D$26)*75%*(SUMIF(RFA!B$51:B$57,"=Rehab",RFA!C$51:C$57)/RFA!C$58),0),"")</f>
        <v/>
      </c>
      <c r="E55" s="103"/>
      <c r="F55" s="284" t="str">
        <f>IF(AND(SUMIF(RFA!B$51:B$57,"=Rehab",RFA!C$51:C$57)&gt;0,IFERROR(VALUE(LEFT(VLOOKUP(1,Identify,3),4)),0)&gt;=2026,OR(AND(RFA!$D$36="Tax-Exempt Bonds Boost",RFA!$C$36&gt;0),AND(RFA!$D$37="Tax-Exempt Bonds Boost",RFA!$C$37&gt;0))),_xlfn._LONGTEXT("If 100% AR, this should be the total listed in the Construction Cost table in the CUR. Otherwise it should only be ""Rehab of Existing Rental Units"" along with any 100% Rehab construction line items (if any) plus a prorata share of shared costs like GC fee",", PnP Bond, or contingency."),"")</f>
        <v/>
      </c>
      <c r="G55" s="95"/>
      <c r="H55" s="111"/>
    </row>
    <row r="56" spans="2:9" x14ac:dyDescent="0.2">
      <c r="B56" s="294" t="str">
        <f>IF(AND(SUMIF(RFA!B$51:B$57,"=Rehab",RFA!C$51:C$57)&gt;0,IFERROR(VALUE(LEFT(VLOOKUP(1,Identify,3),4)),0)&gt;=2026,OR(AND(RFA!$D$36="Tax-Exempt Bonds Boost",RFA!$C$36&gt;0),AND(RFA!$D$37="Tax-Exempt Bonds Boost",RFA!$C$37&gt;0))),"Actual Stated Soft Costs as part of the Overall Total Development Costs","")</f>
        <v/>
      </c>
      <c r="C56" s="108"/>
      <c r="D56" s="288" t="str">
        <f>IF(AND(SUMIF(RFA!B$51:B$57,"=Rehab",RFA!C$51:C$57)&gt;0,IFERROR(VALUE(LEFT(VLOOKUP(1,Identify,3),4)),0)&gt;=2026,OR(AND(RFA!$D$36="Tax-Exempt Bonds Boost",RFA!$C$36&gt;0),AND(RFA!$D$37="Tax-Exempt Bonds Boost",RFA!$C$37&gt;0))),ROUND((D58-D57-D26)-D54-D55,2),"")</f>
        <v/>
      </c>
      <c r="E56" s="103"/>
      <c r="F56" s="284" t="str">
        <f>IF(AND(SUMIF(RFA!B$51:B$57,"=Rehab",RFA!C$51:C$57)&gt;0,IFERROR(VALUE(LEFT(VLOOKUP(1,Identify,3),4)),0)&gt;=2026,OR(AND(RFA!$D$36="Tax-Exempt Bonds Boost",RFA!$C$36&gt;0),AND(RFA!$D$37="Tax-Exempt Bonds Boost",RFA!$C$37&gt;0))),"This should be the sum of the totals listed in the General Development Costs table and the Financial Costs table in the CUR","")</f>
        <v/>
      </c>
      <c r="G56" s="95"/>
      <c r="H56" s="111"/>
    </row>
    <row r="57" spans="2:9" x14ac:dyDescent="0.2">
      <c r="B57" s="294" t="str">
        <f>IF(AND(SUMIF(RFA!B$51:B$57,"=Rehab",RFA!C$51:C$57)&gt;0,IFERROR(VALUE(LEFT(VLOOKUP(1,Identify,3),4)),0)&gt;=2026,OR(AND(RFA!$D$36="Tax-Exempt Bonds Boost",RFA!$C$36&gt;0),AND(RFA!$D$37="Tax-Exempt Bonds Boost",RFA!$C$37&gt;0))),"Actual Stated Total Acquistion Costs &amp; Total Reserves","")</f>
        <v/>
      </c>
      <c r="C57" s="108"/>
      <c r="D57" s="289" t="str">
        <f>IF(AND(SUMIF(RFA!B$51:B$57,"=Rehab",RFA!C$51:C$57)&gt;0,IFERROR(VALUE(LEFT(VLOOKUP(1,Identify,3),4)),0)&gt;=2026,OR(AND(RFA!$D$36="Tax-Exempt Bonds Boost",RFA!$C$36&gt;0),AND(RFA!$D$37="Tax-Exempt Bonds Boost",RFA!$C$37&gt;0))),-D59-D60-D61-D62,"")</f>
        <v/>
      </c>
      <c r="E57" s="103"/>
      <c r="F57" s="284" t="str">
        <f>IF(AND(SUMIF(RFA!B$51:B$57,"=Rehab",RFA!C$51:C$57)&gt;0,IFERROR(VALUE(LEFT(VLOOKUP(1,Identify,3),4)),0)&gt;=2026,OR(AND(RFA!$D$36="Tax-Exempt Bonds Boost",RFA!$C$36&gt;0),AND(RFA!$D$37="Tax-Exempt Bonds Boost",RFA!$C$37&gt;0))),"Taken from entries below in rows 57:60","")</f>
        <v/>
      </c>
      <c r="G57" s="95"/>
      <c r="H57" s="111"/>
    </row>
    <row r="58" spans="2:9" x14ac:dyDescent="0.2">
      <c r="B58" s="105" t="s">
        <v>236</v>
      </c>
      <c r="C58" s="89"/>
      <c r="D58" s="182">
        <v>0</v>
      </c>
      <c r="E58" s="34"/>
      <c r="F58" s="295" t="str">
        <f>IF(AND(SUMIF(RFA!B$51:B$57,"=Rehab",RFA!C$51:C$57)&gt;0,IFERROR(VALUE(LEFT(VLOOKUP(1,Identify,3),4)),0)&gt;=2026,OR(AND(RFA!$D$36="Tax-Exempt Bonds Boost",RFA!$C$36&gt;0),AND(RFA!$D$37="Tax-Exempt Bonds Boost",RFA!$C$37&gt;0))),"Based on entries in cells D25 and D53:D56, this amount should equal "&amp;TEXT(SUM(D54:D57)+D26,"$#,##0.00"),"")</f>
        <v/>
      </c>
      <c r="G58" s="296"/>
    </row>
    <row r="59" spans="2:9" x14ac:dyDescent="0.2">
      <c r="B59" s="105" t="s">
        <v>225</v>
      </c>
      <c r="C59" s="89"/>
      <c r="D59" s="182">
        <v>0</v>
      </c>
      <c r="E59" s="34"/>
      <c r="F59" s="295" t="s">
        <v>121</v>
      </c>
      <c r="G59" s="297" t="str">
        <f>IF(-D59&gt;D16,"The amount entered is in excess of the land allocation indicated in cell D16 above.","")</f>
        <v/>
      </c>
      <c r="I59" s="103"/>
    </row>
    <row r="60" spans="2:9" x14ac:dyDescent="0.2">
      <c r="B60" s="105" t="s">
        <v>226</v>
      </c>
      <c r="C60" s="89"/>
      <c r="D60" s="182">
        <v>0</v>
      </c>
      <c r="E60" s="34"/>
      <c r="F60" s="295" t="s">
        <v>121</v>
      </c>
      <c r="G60" s="298" t="str">
        <f>IF(AND(SUMIF(RFA!B$51:B$57,"=Rehab",RFA!C$51:C$57)&gt;0,IFERROR(VALUE(LEFT(VLOOKUP(1,Identify,3),4)),0)&gt;=2026,OR(AND(RFA!$D$36="Tax-Exempt Bonds Boost",RFA!$C$36&gt;0),AND(RFA!$D$37="Tax-Exempt Bonds Boost",RFA!$C$37&gt;0))),"The lesser of cell D"&amp;ROW(D60)&amp;" or cell D"&amp;ROW(D17)&amp;" earns a 9% Developer Fee for Rehab.","")</f>
        <v/>
      </c>
      <c r="H60" s="158"/>
    </row>
    <row r="61" spans="2:9" x14ac:dyDescent="0.2">
      <c r="B61" s="105" t="s">
        <v>238</v>
      </c>
      <c r="C61" s="89"/>
      <c r="D61" s="182">
        <v>0</v>
      </c>
      <c r="E61" s="34"/>
      <c r="F61" s="106" t="s">
        <v>121</v>
      </c>
      <c r="G61" s="206" t="str">
        <f>IF(AND(SUMIF(RFA!B$51:B$57,"=Rehab",RFA!C$51:C$57)&gt;0,IFERROR(VALUE(LEFT(VLOOKUP(1,Identify,3),4)),0)&gt;=2026,OR(AND(RFA!$D$36="Tax-Exempt Bonds Boost",RFA!$C$36&gt;0),AND(RFA!$D$37="Tax-Exempt Bonds Boost",RFA!$C$37&gt;0))),"Earns a 9% Developer Fee for Rehab.","")</f>
        <v/>
      </c>
    </row>
    <row r="62" spans="2:9" x14ac:dyDescent="0.2">
      <c r="B62" s="105" t="s">
        <v>227</v>
      </c>
      <c r="C62" s="89"/>
      <c r="D62" s="182">
        <v>0</v>
      </c>
      <c r="E62" s="34"/>
      <c r="F62" s="106" t="s">
        <v>121</v>
      </c>
      <c r="G62" s="206"/>
      <c r="H62" s="103"/>
    </row>
    <row r="63" spans="2:9" x14ac:dyDescent="0.2">
      <c r="B63" s="105" t="s">
        <v>228</v>
      </c>
      <c r="C63" s="89"/>
      <c r="D63" s="182">
        <v>0</v>
      </c>
      <c r="E63" s="34"/>
      <c r="F63" s="106" t="s">
        <v>121</v>
      </c>
      <c r="G63" s="206" t="str">
        <f>IF(AND(SUMIF(RFA!B$51:B$57,"=Rehab",RFA!C$51:C$57)&gt;0,IFERROR(VALUE(LEFT(VLOOKUP(1,Identify,3),4)),0)&gt;=2026,OR(AND(RFA!$D$36="Tax-Exempt Bonds Boost",RFA!$C$36&gt;0),AND(RFA!$D$37="Tax-Exempt Bonds Boost",RFA!$C$37&gt;0))),"Earns a 36% Developer Fee for Rehab.","")</f>
        <v/>
      </c>
      <c r="H63" s="103"/>
    </row>
    <row r="64" spans="2:9" x14ac:dyDescent="0.2">
      <c r="B64" s="117" t="s">
        <v>229</v>
      </c>
      <c r="C64" s="89"/>
      <c r="D64" s="182">
        <v>0</v>
      </c>
      <c r="E64" s="34"/>
      <c r="F64" s="106" t="s">
        <v>121</v>
      </c>
      <c r="G64" s="206" t="str">
        <f>IF(AND(SUMIF(RFA!B$51:B$57,"=Rehab",RFA!C$51:C$57)&gt;0,IFERROR(VALUE(LEFT(VLOOKUP(1,Identify,3),4)),0)&gt;=2026,OR(AND(RFA!$D$36="Tax-Exempt Bonds Boost",RFA!$C$36&gt;0),AND(RFA!$D$37="Tax-Exempt Bonds Boost",RFA!$C$37&gt;0))),"Earns an 18% Developer Fee for Rehab.","")</f>
        <v/>
      </c>
      <c r="H64" s="103"/>
    </row>
    <row r="65" spans="2:9" x14ac:dyDescent="0.2">
      <c r="B65" s="105" t="s">
        <v>230</v>
      </c>
      <c r="C65" s="89"/>
      <c r="D65" s="182">
        <v>0</v>
      </c>
      <c r="E65" s="34"/>
      <c r="F65" s="106" t="s">
        <v>121</v>
      </c>
      <c r="G65" s="206" t="str">
        <f>IF(AND(SUMIF(RFA!B$51:B$57,"=Rehab",RFA!C$51:C$57)&gt;0,IFERROR(VALUE(LEFT(VLOOKUP(1,Identify,3),4)),0)&gt;=2026,OR(AND(RFA!$D$36="Tax-Exempt Bonds Boost",RFA!$C$36&gt;0),AND(RFA!$D$37="Tax-Exempt Bonds Boost",RFA!$C$37&gt;0))),"Earns an 18% Developer Fee if any NC units, otherwise 36% for Rehab.","")</f>
        <v/>
      </c>
      <c r="H65" s="103"/>
      <c r="I65" s="103"/>
    </row>
    <row r="66" spans="2:9" x14ac:dyDescent="0.2">
      <c r="B66" s="105" t="s">
        <v>249</v>
      </c>
      <c r="C66" s="89"/>
      <c r="D66" s="182">
        <v>0</v>
      </c>
      <c r="E66" s="34"/>
      <c r="F66" s="106" t="s">
        <v>121</v>
      </c>
      <c r="G66" s="206" t="str">
        <f>IF(AND(SUMIF(RFA!B$51:B$57,"=Rehab",RFA!C$51:C$57)&gt;0,IFERROR(VALUE(LEFT(VLOOKUP(1,Identify,3),4)),0)&gt;=2026,OR(AND(RFA!$D$36="Tax-Exempt Bonds Boost",RFA!$C$36&gt;0),AND(RFA!$D$37="Tax-Exempt Bonds Boost",RFA!$C$37&gt;0))),"Earns an 18% Developer Fee if any NC units, otherwise 36% for Rehab.","")</f>
        <v/>
      </c>
    </row>
    <row r="67" spans="2:9" x14ac:dyDescent="0.2">
      <c r="B67" s="89" t="s">
        <v>231</v>
      </c>
      <c r="C67" s="89"/>
      <c r="D67" s="183">
        <v>0</v>
      </c>
      <c r="E67" s="34"/>
      <c r="F67" s="106" t="s">
        <v>248</v>
      </c>
      <c r="G67" s="111"/>
    </row>
    <row r="68" spans="2:9" x14ac:dyDescent="0.2">
      <c r="B68" s="250" t="str">
        <f>"Enter a ""1"" if the amount in cell D"&amp;ROW(D67)&amp;" is a development cost eligible to earn a DF"</f>
        <v>Enter a "1" if the amount in cell D67 is a development cost eligible to earn a DF</v>
      </c>
      <c r="C68" s="89"/>
      <c r="D68" s="181">
        <v>0</v>
      </c>
      <c r="E68" s="34"/>
      <c r="F68" s="106"/>
      <c r="G68" s="206" t="str">
        <f>IF(AND(SUMIF(RFA!B$51:B$57,"=Rehab",RFA!C$51:C$57)&gt;0,IFERROR(VALUE(LEFT(VLOOKUP(1,Identify,3),4)),0)&gt;=2026,OR(AND(RFA!$D$36="Tax-Exempt Bonds Boost",RFA!$C$36&gt;0),AND(RFA!$D$37="Tax-Exempt Bonds Boost",RFA!$C$37&gt;0))),"Related to an 18% Developer Fee cost for Rehab.","")</f>
        <v/>
      </c>
    </row>
    <row r="69" spans="2:9" x14ac:dyDescent="0.2">
      <c r="B69" s="89" t="s">
        <v>233</v>
      </c>
      <c r="C69" s="89"/>
      <c r="D69" s="111">
        <f>D58+D59+D62+IF(D68=1,D67,0)-D26</f>
        <v>0</v>
      </c>
      <c r="E69" s="34"/>
      <c r="F69" s="106" t="s">
        <v>428</v>
      </c>
      <c r="G69" s="111"/>
    </row>
    <row r="70" spans="2:9" x14ac:dyDescent="0.2">
      <c r="B70" s="90" t="str">
        <f>IF(AND(SUMIF(RFA!B$51:B$57,"=Rehab",RFA!C$51:C$57)&gt;0,IFERROR(VALUE(LEFT(VLOOKUP(1,Identify,3),4)),0)&gt;=2026,OR(AND(RFA!$D$36="Tax-Exempt Bonds Boost",RFA!$C$36&gt;0),AND(RFA!$D$37="Tax-Exempt Bonds Boost",RFA!$C$37&gt;0))),"The lesser of sum of the 36% / 18% / 9% sublimits, or 18%",TEXT(D9,"0%"))&amp;" of Stated Dev Costs Eligible to earn a DF"</f>
        <v>16% of Stated Dev Costs Eligible to earn a DF</v>
      </c>
      <c r="C70" s="89"/>
      <c r="D70" s="136">
        <f>IF(AND(SUMIF(RFA!B$51:B$57,"=Rehab",RFA!C$51:C$57)&gt;0,IFERROR(VALUE(LEFT(VLOOKUP(1,Identify,3),4)),0)&gt;=2026,OR(AND(RFA!$D$36="Tax-Exempt Bonds Boost",RFA!$C$36&gt;0),AND(RFA!$D$37="Tax-Exempt Bonds Boost",RFA!$C$37&gt;0))),D139,ROUNDDOWN(D69*D9,0))</f>
        <v>0</v>
      </c>
      <c r="E70" s="34"/>
      <c r="F70" s="103"/>
      <c r="G70" s="111"/>
    </row>
    <row r="71" spans="2:9" x14ac:dyDescent="0.2">
      <c r="B71" s="113" t="s">
        <v>285</v>
      </c>
      <c r="C71" s="114"/>
      <c r="D71" s="102">
        <f>D58+D59+MAX(D60,-D17)+SUM(D61:D67)</f>
        <v>0</v>
      </c>
      <c r="E71" s="103"/>
      <c r="F71" s="252"/>
      <c r="G71" s="111"/>
    </row>
    <row r="72" spans="2:9" x14ac:dyDescent="0.2">
      <c r="F72" s="193"/>
      <c r="G72" s="103"/>
    </row>
    <row r="73" spans="2:9" x14ac:dyDescent="0.2">
      <c r="F73" s="103"/>
      <c r="G73" s="103"/>
    </row>
    <row r="74" spans="2:9" ht="15" x14ac:dyDescent="0.2">
      <c r="B74" s="124" t="s">
        <v>215</v>
      </c>
      <c r="C74" s="125"/>
      <c r="D74" s="126">
        <f>D49</f>
        <v>0</v>
      </c>
      <c r="G74" s="103"/>
    </row>
    <row r="75" spans="2:9" ht="15" x14ac:dyDescent="0.2">
      <c r="B75" s="124" t="s">
        <v>142</v>
      </c>
      <c r="C75" s="125"/>
      <c r="D75" s="126">
        <f>D58+D29+N(D31)+N(D48)</f>
        <v>0</v>
      </c>
      <c r="G75" s="103"/>
    </row>
    <row r="76" spans="2:9" x14ac:dyDescent="0.2">
      <c r="G76" s="103"/>
    </row>
    <row r="77" spans="2:9" x14ac:dyDescent="0.2">
      <c r="D77" s="103"/>
      <c r="G77" s="103"/>
    </row>
    <row r="78" spans="2:9" x14ac:dyDescent="0.2">
      <c r="B78" s="110" t="s">
        <v>123</v>
      </c>
      <c r="D78" s="138">
        <f>IFERROR(IF(D75=0,0,D29+N(D31)+N(D45)),0)</f>
        <v>0</v>
      </c>
      <c r="F78" s="142"/>
      <c r="G78" s="103"/>
    </row>
    <row r="79" spans="2:9" x14ac:dyDescent="0.2">
      <c r="B79" s="137" t="s">
        <v>124</v>
      </c>
      <c r="C79" s="114"/>
      <c r="D79" s="176">
        <f>IF(D78=0,0,D78/D26)</f>
        <v>0</v>
      </c>
      <c r="E79" s="103"/>
      <c r="G79" s="103"/>
    </row>
    <row r="80" spans="2:9" x14ac:dyDescent="0.2">
      <c r="B80" s="90" t="s">
        <v>232</v>
      </c>
      <c r="D80" s="139">
        <f>IF(D74=0,0,D74/D75)</f>
        <v>0</v>
      </c>
      <c r="E80" s="103"/>
      <c r="G80" s="118"/>
    </row>
    <row r="81" spans="1:8" x14ac:dyDescent="0.2">
      <c r="B81" s="90" t="s">
        <v>125</v>
      </c>
      <c r="D81" s="139">
        <f>IF(D69=0,0,D74/D69)</f>
        <v>0</v>
      </c>
      <c r="G81" s="95"/>
      <c r="H81" s="103"/>
    </row>
    <row r="82" spans="1:8" x14ac:dyDescent="0.2">
      <c r="F82" s="118"/>
      <c r="G82" s="95"/>
      <c r="H82" s="103"/>
    </row>
    <row r="83" spans="1:8" hidden="1" outlineLevel="1" x14ac:dyDescent="0.2">
      <c r="B83" s="89" t="str">
        <f>IF(D9=21%,"The maximum non-ODR DF (on Non-Acquisition Costs) portion of the 21% DF above that IS subject to DF adjustments","")</f>
        <v/>
      </c>
      <c r="C83" s="89"/>
      <c r="D83" s="111" t="str">
        <f>IFERROR(IF(D9=21%,ROUNDDOWN((D12*16%),0),""),"")</f>
        <v/>
      </c>
      <c r="E83" s="103"/>
      <c r="F83" s="146"/>
      <c r="G83" s="103"/>
      <c r="H83" s="103"/>
    </row>
    <row r="84" spans="1:8" hidden="1" outlineLevel="1" x14ac:dyDescent="0.2">
      <c r="B84" s="89" t="str">
        <f>IF(D9=21%,"The maximum non-ODR DF (on Building Acquisition Costs) portion of the 21% DF above that IS subject to DF adjustments","")</f>
        <v/>
      </c>
      <c r="C84" s="89"/>
      <c r="D84" s="111" t="str">
        <f>IFERROR(IF(D9=21%,ROUNDDOWN((D17*16%),0),""),"")</f>
        <v/>
      </c>
      <c r="E84" s="103"/>
      <c r="F84" s="147"/>
      <c r="G84" s="103"/>
      <c r="H84" s="103"/>
    </row>
    <row r="85" spans="1:8" hidden="1" outlineLevel="1" x14ac:dyDescent="0.2">
      <c r="B85" s="101" t="str">
        <f>IF(D9=21%,"Total maximum non-ODR DF portion of the 21% DF above that IS subject to DF adjustments","")</f>
        <v/>
      </c>
      <c r="C85" s="101"/>
      <c r="D85" s="102" t="str">
        <f>IF(D83="","",D83+D84)</f>
        <v/>
      </c>
      <c r="E85" s="103"/>
      <c r="F85" s="148"/>
      <c r="G85" s="103"/>
      <c r="H85" s="103"/>
    </row>
    <row r="86" spans="1:8" hidden="1" outlineLevel="1" x14ac:dyDescent="0.2">
      <c r="B86" s="110" t="str">
        <f>IF(D9=21%,"Total Adjustments","")</f>
        <v/>
      </c>
      <c r="C86" s="101"/>
      <c r="D86" s="171" t="str">
        <f>IF(D83="","",IFERROR(N(D45),""))</f>
        <v/>
      </c>
      <c r="E86" s="103"/>
      <c r="F86" s="149"/>
      <c r="G86" s="103"/>
      <c r="H86" s="103"/>
    </row>
    <row r="87" spans="1:8" hidden="1" outlineLevel="1" x14ac:dyDescent="0.2">
      <c r="B87" s="101" t="str">
        <f>IF(D9=21%,"Total maximum non-ODR DF portion of the 21% DF above after adjustments","")</f>
        <v/>
      </c>
      <c r="C87" s="101"/>
      <c r="D87" s="112" t="str">
        <f>IFERROR(D85+D86,"")</f>
        <v/>
      </c>
      <c r="E87" s="103"/>
      <c r="F87" s="148"/>
      <c r="G87" s="103"/>
      <c r="H87" s="103"/>
    </row>
    <row r="88" spans="1:8" hidden="1" outlineLevel="1" x14ac:dyDescent="0.2">
      <c r="B88" s="89" t="str">
        <f>IF(D9=21%,"The maximum ODR DF (on Non-Acquisition Costs) portion of the 21% DF above that is NOT subject to any DF adjustments","")</f>
        <v/>
      </c>
      <c r="C88" s="89"/>
      <c r="D88" s="111" t="str">
        <f>IF(D9=21%,ROUNDDOWN((D12*I5),0),"")</f>
        <v/>
      </c>
      <c r="E88" s="103"/>
      <c r="F88" s="103"/>
      <c r="G88" s="103"/>
      <c r="H88" s="103"/>
    </row>
    <row r="89" spans="1:8" hidden="1" outlineLevel="1" x14ac:dyDescent="0.2">
      <c r="B89" s="89" t="str">
        <f>IF(D9=21%,"The maximum ODR DF (on Building Acquisition Costs) portion of the 21% DF above that is NOT subject to any DF adjustments","")</f>
        <v/>
      </c>
      <c r="C89" s="89"/>
      <c r="D89" s="111" t="str">
        <f>IF(D9=21%,ROUNDDOWN((D17*I5),0),"")</f>
        <v/>
      </c>
      <c r="E89" s="103"/>
      <c r="F89" s="147"/>
      <c r="G89" s="103"/>
      <c r="H89" s="103"/>
    </row>
    <row r="90" spans="1:8" hidden="1" outlineLevel="1" x14ac:dyDescent="0.2">
      <c r="B90" s="113" t="str">
        <f>IF(D9=21%,"Total maximum ODR DF portion of the 21% DF above that is NOT subject to any DF adjustments","")</f>
        <v/>
      </c>
      <c r="C90" s="114"/>
      <c r="D90" s="115" t="str">
        <f>IF(D88="","",D88+D89)</f>
        <v/>
      </c>
      <c r="E90" s="103"/>
    </row>
    <row r="91" spans="1:8" hidden="1" outlineLevel="1" x14ac:dyDescent="0.2">
      <c r="B91" s="119" t="s">
        <v>443</v>
      </c>
      <c r="C91" s="114"/>
      <c r="D91" s="116"/>
      <c r="E91" s="103"/>
    </row>
    <row r="92" spans="1:8" hidden="1" outlineLevel="1" x14ac:dyDescent="0.2">
      <c r="C92" s="120"/>
    </row>
    <row r="93" spans="1:8" hidden="1" outlineLevel="1" x14ac:dyDescent="0.2">
      <c r="C93" s="120"/>
    </row>
    <row r="94" spans="1:8" hidden="1" outlineLevel="1" x14ac:dyDescent="0.2"/>
    <row r="95" spans="1:8" hidden="1" outlineLevel="1" x14ac:dyDescent="0.2">
      <c r="A95" s="82" t="s">
        <v>82</v>
      </c>
      <c r="B95" s="121">
        <v>0.1</v>
      </c>
      <c r="D95" s="103"/>
    </row>
    <row r="96" spans="1:8" hidden="1" outlineLevel="1" x14ac:dyDescent="0.2">
      <c r="A96" s="82" t="s">
        <v>83</v>
      </c>
      <c r="B96" s="122">
        <v>0.16</v>
      </c>
      <c r="D96" s="103"/>
    </row>
    <row r="97" spans="2:11" hidden="1" outlineLevel="1" x14ac:dyDescent="0.2">
      <c r="B97" s="122">
        <v>0.18</v>
      </c>
      <c r="D97" s="103"/>
      <c r="J97" s="118"/>
    </row>
    <row r="98" spans="2:11" hidden="1" outlineLevel="1" x14ac:dyDescent="0.2">
      <c r="B98" s="123">
        <v>0.21</v>
      </c>
      <c r="D98" s="103"/>
    </row>
    <row r="99" spans="2:11" ht="13.15" hidden="1" customHeight="1" outlineLevel="1" x14ac:dyDescent="0.2">
      <c r="D99" s="103"/>
    </row>
    <row r="100" spans="2:11" hidden="1" outlineLevel="1" x14ac:dyDescent="0.2">
      <c r="B100" s="193"/>
      <c r="D100" s="103"/>
    </row>
    <row r="101" spans="2:11" hidden="1" outlineLevel="1" x14ac:dyDescent="0.2"/>
    <row r="102" spans="2:11" hidden="1" outlineLevel="1" x14ac:dyDescent="0.2"/>
    <row r="103" spans="2:11" hidden="1" outlineLevel="1" x14ac:dyDescent="0.2"/>
    <row r="104" spans="2:11" hidden="1" outlineLevel="1" x14ac:dyDescent="0.2"/>
    <row r="105" spans="2:11" collapsed="1" x14ac:dyDescent="0.2"/>
    <row r="106" spans="2:11" x14ac:dyDescent="0.2">
      <c r="B106" s="245" t="s">
        <v>406</v>
      </c>
    </row>
    <row r="107" spans="2:11" ht="15.75" customHeight="1" x14ac:dyDescent="0.2">
      <c r="B107" s="82" t="s">
        <v>407</v>
      </c>
      <c r="D107" s="136">
        <f>IF(D21=0,0,D21/D11)</f>
        <v>0</v>
      </c>
      <c r="G107" s="339" t="s">
        <v>432</v>
      </c>
      <c r="H107" s="339"/>
      <c r="I107" s="339"/>
      <c r="J107" s="339"/>
      <c r="K107" s="349" t="s">
        <v>452</v>
      </c>
    </row>
    <row r="108" spans="2:11" ht="13.5" customHeight="1" x14ac:dyDescent="0.2">
      <c r="B108" s="82" t="s">
        <v>408</v>
      </c>
      <c r="D108" s="136">
        <f>IF(D75=0,0,D52/D11)</f>
        <v>0</v>
      </c>
      <c r="G108" s="339"/>
      <c r="H108" s="339"/>
      <c r="I108" s="339"/>
      <c r="J108" s="339"/>
      <c r="K108" s="349"/>
    </row>
    <row r="109" spans="2:11" ht="12.75" customHeight="1" x14ac:dyDescent="0.2">
      <c r="B109" s="82" t="s">
        <v>409</v>
      </c>
      <c r="D109" s="136">
        <f>D78</f>
        <v>0</v>
      </c>
      <c r="G109" s="340"/>
      <c r="H109" s="340"/>
      <c r="I109" s="340"/>
      <c r="J109" s="340"/>
      <c r="K109" s="350"/>
    </row>
    <row r="110" spans="2:11" x14ac:dyDescent="0.2">
      <c r="G110" s="316" t="s">
        <v>240</v>
      </c>
      <c r="H110" s="254" t="s">
        <v>241</v>
      </c>
      <c r="I110" s="254" t="s">
        <v>242</v>
      </c>
      <c r="J110" s="279" t="s">
        <v>243</v>
      </c>
      <c r="K110" s="279" t="s">
        <v>451</v>
      </c>
    </row>
    <row r="111" spans="2:11" x14ac:dyDescent="0.2">
      <c r="B111" s="245" t="str">
        <f>IF(AND(SUMIF(RFA!B$51:B$57,"=Rehab",RFA!C$51:C$57)&gt;0,IFERROR(VALUE(LEFT(VLOOKUP(1,Identify,3),4)),0)&gt;=2026,OR(AND(RFA!$D$36="Tax-Exempt Bonds Boost",RFA!$C$36&gt;0),AND(RFA!$D$37="Tax-Exempt Bonds Boost",RFA!$C$37&gt;0))),"Verifying whether the 36%, 18%, 9% Developer Fee sublimits are more restrictive than the 18% maximum based on TDC PU Limits:","")</f>
        <v/>
      </c>
      <c r="D111" s="103"/>
      <c r="F111" s="103"/>
      <c r="G111" s="317" t="s">
        <v>444</v>
      </c>
      <c r="H111" s="257">
        <v>0</v>
      </c>
      <c r="I111" s="257">
        <v>0</v>
      </c>
      <c r="J111" s="280">
        <f>I111</f>
        <v>0</v>
      </c>
      <c r="K111" s="280">
        <f>IF(AND(SUMIF(RFA!$B$51:$B$57,"=Rehab",RFA!$C$51:$C$57)&gt;0,IFERROR(VALUE(LEFT(VLOOKUP(1,Identify,3),4)),0)&gt;=2026,OR(AND(RFA!$D$36="Tax-Exempt Bonds Boost",RFA!$C$36&gt;0),AND(RFA!$D$37="Tax-Exempt Bonds Boost",RFA!$C$37&gt;0))),RFA!J58*RFA!C58-SUM(D$63:D$66)-D$67*D$68,0)</f>
        <v>0</v>
      </c>
    </row>
    <row r="112" spans="2:11" ht="12.75" customHeight="1" x14ac:dyDescent="0.2">
      <c r="B112" s="265" t="str">
        <f>IF(AND(SUMIF(RFA!B$51:B$57,"=Rehab",RFA!C$51:C$57)&gt;0,IFERROR(VALUE(LEFT(VLOOKUP(1,Identify,3),4)),0)&gt;=2026,OR(AND(RFA!$D$36="Tax-Exempt Bonds Boost",RFA!$C$36&gt;0),AND(RFA!$D$37="Tax-Exempt Bonds Boost",RFA!$C$37&gt;0))),"36% Sublimit on AR Hard Costs: (Based on the published TDC PU Limitation amounts)","")</f>
        <v/>
      </c>
      <c r="C112" s="265"/>
      <c r="D112" s="111" t="str">
        <f>IF(AND(SUMIF(RFA!B$51:B$57,"=Rehab",RFA!C$51:C$57)&gt;0,IFERROR(VALUE(LEFT(VLOOKUP(1,Identify,3),4)),0)&gt;=2026,OR(AND(RFA!$D$36="Tax-Exempt Bonds Boost",RFA!$C$36&gt;0),AND(RFA!$D$37="Tax-Exempt Bonds Boost",RFA!$C$37&gt;0))),36%*(RFA!K$59*SUMIF(RFA!B$51:B$57,"=Rehab",RFA!C$51:C$57)),"")</f>
        <v/>
      </c>
      <c r="F112" s="103"/>
      <c r="G112" s="317" t="s">
        <v>446</v>
      </c>
      <c r="H112" s="257">
        <v>0</v>
      </c>
      <c r="I112" s="257">
        <v>0</v>
      </c>
      <c r="J112" s="280">
        <f>I112</f>
        <v>0</v>
      </c>
      <c r="K112" s="280">
        <f>IF(AND(SUMIF(RFA!$B$51:$B$57,"=Rehab",RFA!$C$51:$C$57)&gt;0,IFERROR(VALUE(LEFT(VLOOKUP(1,Identify,3),4)),0)&gt;=2026,OR(AND(RFA!$D$36="Tax-Exempt Bonds Boost",RFA!$C$36&gt;0),AND(RFA!$D$37="Tax-Exempt Bonds Boost",RFA!$C$37&gt;0))),SUMIF(RFA!$B$51:$B$57,"=NC",RFA!$C$51:$C$57)*RFA!$L$58+SUMIF(RFA!$B$51:$B$57,"=Rehab",RFA!$C$51:$C$57)*RFA!$L$59-CUR!$D$64,0)</f>
        <v>0</v>
      </c>
    </row>
    <row r="113" spans="2:11" x14ac:dyDescent="0.2">
      <c r="B113" s="266" t="str">
        <f>IF(AND(SUMIF(RFA!B$51:B$57,"=Rehab",RFA!C$51:C$57)&gt;0,IFERROR(VALUE(LEFT(VLOOKUP(1,Identify,3),4)),0)&gt;=2026,OR(AND(RFA!$D$36="Tax-Exempt Bonds Boost",RFA!$C$36&gt;0),AND(RFA!$D$37="Tax-Exempt Bonds Boost",RFA!$C$37&gt;0))),"36% Sublimit on Demolition Costs: (Based on entries above)","")</f>
        <v/>
      </c>
      <c r="C113" s="266"/>
      <c r="D113" s="267" t="str">
        <f>IF(AND(SUMIF(RFA!B$51:B$57,"=Rehab",RFA!C$51:C$57)&gt;0,IFERROR(VALUE(LEFT(VLOOKUP(1,Identify,3),4)),0)&gt;=2026,OR(AND(RFA!$D$36="Tax-Exempt Bonds Boost",RFA!$C$36&gt;0),AND(RFA!$D$37="Tax-Exempt Bonds Boost",RFA!$C$37&gt;0))),-36%*D$63,"")</f>
        <v/>
      </c>
      <c r="F113" s="103"/>
      <c r="G113" s="318" t="s">
        <v>445</v>
      </c>
      <c r="H113" s="253">
        <f>ROUNDDOWN(IF(AND(SUMIF(RFA!$B$51:$B$57,"=Rehab",RFA!$C$51:$C$57)&gt;0,IFERROR(VALUE(LEFT(VLOOKUP(1,Identify,3),4)),0)&gt;=2026,OR(AND(RFA!$D$36="Tax-Exempt Bonds Boost",RFA!$C$36&gt;0),AND(RFA!$D$37="Tax-Exempt Bonds Boost",RFA!$C$37&gt;0))),IF(18%*H111&lt;(H111-H112)*36%+H112*18%-(CUR!$D$60+CUR!$D$61)*9%,18%*H111,(H111-H112)*36%+H112*18%),$D$9*H111),0)</f>
        <v>0</v>
      </c>
      <c r="I113" s="253">
        <f>ROUNDDOWN(IF(AND(SUMIF(RFA!$B$51:$B$57,"=Rehab",RFA!$C$51:$C$57)&gt;0,IFERROR(VALUE(LEFT(VLOOKUP(1,Identify,3),4)),0)&gt;=2026,OR(AND(RFA!$D$36="Tax-Exempt Bonds Boost",RFA!$C$36&gt;0),AND(RFA!$D$37="Tax-Exempt Bonds Boost",RFA!$C$37&gt;0))),IF(18%*I111&lt;(I111-I112)*36%+I112*18%-(CUR!$D$60+CUR!$D$61)*9%,18%*I111,(I111-I112)*36%+I112*18%),$D$9*I111),0)</f>
        <v>0</v>
      </c>
      <c r="J113" s="281">
        <f>IFERROR(ROUNDDOWN(H113/H118*I118,0),0)</f>
        <v>0</v>
      </c>
      <c r="K113" s="281">
        <f>N(CUR!$D$128)</f>
        <v>0</v>
      </c>
    </row>
    <row r="114" spans="2:11" x14ac:dyDescent="0.2">
      <c r="B114" s="266" t="str">
        <f>IF(AND(SUMIF(RFA!B$51:B$57,"=Rehab",RFA!C$51:C$57)&gt;0,IFERROR(VALUE(LEFT(VLOOKUP(1,Identify,3),4)),0)&gt;=2026,OR(AND(RFA!$D$36="Tax-Exempt Bonds Boost",RFA!$C$36&gt;0),AND(RFA!$D$37="Tax-Exempt Bonds Boost",RFA!$C$37&gt;0))),"36% Sublimit on Retail/Commercial Space Costs (if 100% AR units): (Based on entries above)","")</f>
        <v/>
      </c>
      <c r="C114" s="266"/>
      <c r="D114" s="267" t="str">
        <f>IF(AND(SUMIF(RFA!B$51:B$57,"=Rehab",RFA!C$51:C$57)&gt;0,IFERROR(VALUE(LEFT(VLOOKUP(1,Identify,3),4)),0)&gt;=2026,OR(AND(RFA!$D$36="Tax-Exempt Bonds Boost",RFA!$C$36&gt;0),AND(RFA!$D$37="Tax-Exempt Bonds Boost",RFA!$C$37&gt;0))),-36%*IF(SUMIF(RFA!B$51:B$57,"=Rehab",RFA!C$51:C$57)=SUMIF(RFA!B$51:B$57,"=Rehab",RFA!C$51:C$57),D$65,0),"")</f>
        <v/>
      </c>
      <c r="F114" s="103"/>
      <c r="G114" s="318" t="s">
        <v>447</v>
      </c>
      <c r="H114" s="258">
        <v>0</v>
      </c>
      <c r="I114" s="253">
        <f>IFERROR(H114,0)</f>
        <v>0</v>
      </c>
      <c r="J114" s="281">
        <f>IFERROR(I114,0)</f>
        <v>0</v>
      </c>
      <c r="K114" s="281">
        <f>N(Max_Acq_DF_Bond_w_AR_Units)</f>
        <v>0</v>
      </c>
    </row>
    <row r="115" spans="2:11" x14ac:dyDescent="0.2">
      <c r="B115" s="266" t="str">
        <f>IF(AND(SUMIF(RFA!B$51:B$57,"=Rehab",RFA!C$51:C$57)&gt;0,IFERROR(VALUE(LEFT(VLOOKUP(1,Identify,3),4)),0)&gt;=2026,OR(AND(RFA!$D$36="Tax-Exempt Bonds Boost",RFA!$C$36&gt;0),AND(RFA!$D$37="Tax-Exempt Bonds Boost",RFA!$C$37&gt;0))),"36% Sublimit on Construction Features Deduction Costs (if 100% AR units): (Based on entries above)","")</f>
        <v/>
      </c>
      <c r="C115" s="266"/>
      <c r="D115" s="267" t="str">
        <f>IF(AND(SUMIF(RFA!B$51:B$57,"=Rehab",RFA!C$51:C$57)&gt;0,IFERROR(VALUE(LEFT(VLOOKUP(1,Identify,3),4)),0)&gt;=2026,OR(AND(RFA!$D$36="Tax-Exempt Bonds Boost",RFA!$C$36&gt;0),AND(RFA!$D$37="Tax-Exempt Bonds Boost",RFA!$C$37&gt;0))),-36%*IF(SUMIF(RFA!B$51:B$57,"=Rehab",RFA!C$51:C$57)=SUMIF(RFA!B$51:B$57,"=Rehab",RFA!C$51:C$57),D$66,0),"")</f>
        <v/>
      </c>
      <c r="F115" s="103"/>
      <c r="G115" s="318" t="s">
        <v>448</v>
      </c>
      <c r="H115" s="253">
        <f>H113+H114</f>
        <v>0</v>
      </c>
      <c r="I115" s="253">
        <f>I113+I114</f>
        <v>0</v>
      </c>
      <c r="J115" s="281">
        <f>IFERROR(J113+J114,0)</f>
        <v>0</v>
      </c>
      <c r="K115" s="281">
        <f>K113+K114</f>
        <v>0</v>
      </c>
    </row>
    <row r="116" spans="2:11" x14ac:dyDescent="0.2">
      <c r="B116" s="265" t="str">
        <f>IF(AND(SUMIF(RFA!B$51:B$57,"=Rehab",RFA!C$51:C$57)&gt;0,IFERROR(VALUE(LEFT(VLOOKUP(1,Identify,3),4)),0)&gt;=2026,OR(AND(RFA!$D$36="Tax-Exempt Bonds Boost",RFA!$C$36&gt;0),AND(RFA!$D$37="Tax-Exempt Bonds Boost",RFA!$C$37&gt;0))),"18% Sublimit on AR Soft Costs: (Based on the published TDC PU Limitation amounts)","")</f>
        <v/>
      </c>
      <c r="C116" s="265"/>
      <c r="D116" s="111" t="str">
        <f>IF(AND(SUMIF(RFA!B$51:B$57,"=Rehab",RFA!C$51:C$57)&gt;0,IFERROR(VALUE(LEFT(VLOOKUP(1,Identify,3),4)),0)&gt;=2026,OR(AND(RFA!$D$36="Tax-Exempt Bonds Boost",RFA!$C$36&gt;0),AND(RFA!$D$37="Tax-Exempt Bonds Boost",RFA!$C$37&gt;0))),18%*RFA!L$59*SUMIF(RFA!B$51:B$57,"=Rehab",RFA!C$51:C$57),"")</f>
        <v/>
      </c>
      <c r="G116" s="318" t="s">
        <v>449</v>
      </c>
      <c r="H116" s="255">
        <f>H115-IF($D$9=21%,H117,0)</f>
        <v>0</v>
      </c>
      <c r="I116" s="255">
        <f>I115-IF($D$9=21%,I117,0)</f>
        <v>0</v>
      </c>
      <c r="J116" s="281">
        <f>IFERROR(J115-J117,0)</f>
        <v>0</v>
      </c>
      <c r="K116" s="281">
        <f>K115</f>
        <v>0</v>
      </c>
    </row>
    <row r="117" spans="2:11" x14ac:dyDescent="0.2">
      <c r="B117" s="266" t="str">
        <f>IF(AND(SUMIF(RFA!B$51:B$57,"=Rehab",RFA!C$51:C$57)&gt;0,IFERROR(VALUE(LEFT(VLOOKUP(1,Identify,3),4)),0)&gt;=2026,OR(AND(RFA!$D$36="Tax-Exempt Bonds Boost",RFA!$C$36&gt;0),AND(RFA!$D$37="Tax-Exempt Bonds Boost",RFA!$C$37&gt;0))),"18% Sublimit on Relocation Costs: (Based on entries above)","")</f>
        <v/>
      </c>
      <c r="C117" s="266"/>
      <c r="D117" s="267" t="str">
        <f>IF(AND(SUMIF(RFA!B$51:B$57,"=Rehab",RFA!C$51:C$57)&gt;0,IFERROR(VALUE(LEFT(VLOOKUP(1,Identify,3),4)),0)&gt;=2026,OR(AND(RFA!$D$36="Tax-Exempt Bonds Boost",RFA!$C$36&gt;0),AND(RFA!$D$37="Tax-Exempt Bonds Boost",RFA!$C$37&gt;0))),-18%*D$64,"")</f>
        <v/>
      </c>
      <c r="F117" s="103"/>
      <c r="G117" s="318" t="s">
        <v>450</v>
      </c>
      <c r="H117" s="255">
        <f>IF($D$9=21%,ROUNDDOWN(5/21*H115,0),0)</f>
        <v>0</v>
      </c>
      <c r="I117" s="255">
        <f>IF($D$9=21%,ROUNDDOWN(5/21*I115,0),0)</f>
        <v>0</v>
      </c>
      <c r="J117" s="281">
        <f>IFERROR(I117,0)</f>
        <v>0</v>
      </c>
      <c r="K117" s="281">
        <v>0</v>
      </c>
    </row>
    <row r="118" spans="2:11" ht="12.75" customHeight="1" x14ac:dyDescent="0.2">
      <c r="B118" s="266" t="str">
        <f>IF(AND(SUMIF(RFA!B$51:B$57,"=Rehab",RFA!C$51:C$57)&gt;0,IFERROR(VALUE(LEFT(VLOOKUP(1,Identify,3),4)),0)&gt;=2026,OR(AND(RFA!$D$36="Tax-Exempt Bonds Boost",RFA!$C$36&gt;0),AND(RFA!$D$37="Tax-Exempt Bonds Boost",RFA!$C$37&gt;0))),"18% Sublimit on Other Allowed Cost Deductions when eligible for a fee: (Based on entries above)","")</f>
        <v/>
      </c>
      <c r="C118" s="266"/>
      <c r="D118" s="267" t="str">
        <f>IF(AND(SUMIF(RFA!B$51:B$57,"=Rehab",RFA!C$51:C$57)&gt;0,IFERROR(VALUE(LEFT(VLOOKUP(1,Identify,3),4)),0)&gt;=2026,OR(AND(RFA!$D$36="Tax-Exempt Bonds Boost",RFA!$C$36&gt;0),AND(RFA!$D$37="Tax-Exempt Bonds Boost",RFA!$C$37&gt;0))),-18%*IF(D$68=1,D$67,0),"")</f>
        <v/>
      </c>
      <c r="G118" s="319" t="s">
        <v>244</v>
      </c>
      <c r="H118" s="256">
        <v>0</v>
      </c>
      <c r="I118" s="256">
        <v>0</v>
      </c>
      <c r="J118" s="282">
        <f>IFERROR(I118,0)</f>
        <v>0</v>
      </c>
      <c r="K118" s="282">
        <f>IF(AND(SUMIF(RFA!$B$51:$B$57,"=Rehab",RFA!$C$51:$C$57)&gt;0,IFERROR(VALUE(LEFT(VLOOKUP(1,Identify,3),4)),0)&gt;=2026,OR(AND(RFA!$D$36="Tax-Exempt Bonds Boost",RFA!$C$36&gt;0),AND(RFA!$D$37="Tax-Exempt Bonds Boost",RFA!$C$37&gt;0))),RFA!$C$58,0)</f>
        <v>0</v>
      </c>
    </row>
    <row r="119" spans="2:11" ht="16.5" customHeight="1" x14ac:dyDescent="0.2">
      <c r="B119" s="265" t="str">
        <f>IF(AND(SUMIF(RFA!B$51:B$57,"=Rehab",RFA!C$51:C$57)&gt;0,IFERROR(VALUE(LEFT(VLOOKUP(1,Identify,3),4)),0)&gt;=2026,OR(AND(RFA!$D$36="Tax-Exempt Bonds Boost",RFA!$C$36&gt;0),AND(RFA!$D$37="Tax-Exempt Bonds Boost",RFA!$C$37&gt;0))),"18% on any NC portion: (Based on the published TDC PU Limitation amounts)","")</f>
        <v/>
      </c>
      <c r="C119" s="265"/>
      <c r="D119" s="111" t="str">
        <f>IF(AND(SUMIF(RFA!B$51:B$57,"=Rehab",RFA!C$51:C$57)&gt;0,IFERROR(VALUE(LEFT(VLOOKUP(1,Identify,3),4)),0)&gt;=2026,OR(AND(RFA!$D$36="Tax-Exempt Bonds Boost",RFA!$C$36&gt;0),AND(RFA!$D$37="Tax-Exempt Bonds Boost",RFA!$C$37&gt;0))),18%*((N(RFA!K$58)+N(RFA!L$58))*SUMIF(RFA!B$51:B$57,"=NC",RFA!C$51:C$57)),"")</f>
        <v/>
      </c>
      <c r="F119" s="103"/>
      <c r="G119" s="337" t="str">
        <f>IF(H111=0,"","NA: Non-Acquisition; NADC: Non-Acquisition Development Costs; Max Acq DF will be the Acq Costs x either the Developer Fee % limit or 9% (for A/R 4%HC transactions only)' *Applicable only to A/R 4%HC transactions.")</f>
        <v/>
      </c>
      <c r="H119" s="337"/>
      <c r="I119" s="337"/>
      <c r="J119" s="337"/>
    </row>
    <row r="120" spans="2:11" ht="18" customHeight="1" x14ac:dyDescent="0.2">
      <c r="B120" s="266" t="str">
        <f>IF(AND(SUMIF(RFA!B$51:B$57,"=Rehab",RFA!C$51:C$57)&gt;0,IFERROR(VALUE(LEFT(VLOOKUP(1,Identify,3),4)),0)&gt;=2026,OR(AND(RFA!$D$36="Tax-Exempt Bonds Boost",RFA!$C$36&gt;0),AND(RFA!$D$37="Tax-Exempt Bonds Boost",RFA!$C$37&gt;0))),"18% on NC Retail/Commercial Space Costs (if NOT 100% AR units): (Based on entries above)","")</f>
        <v/>
      </c>
      <c r="C120" s="266"/>
      <c r="D120" s="267" t="str">
        <f>IF(AND(SUMIF(RFA!B$51:B$57,"=Rehab",RFA!C$51:C$57)&gt;0,IFERROR(VALUE(LEFT(VLOOKUP(1,Identify,3),4)),0)&gt;=2026,OR(AND(RFA!$D$36="Tax-Exempt Bonds Boost",RFA!$C$36&gt;0),AND(RFA!$D$37="Tax-Exempt Bonds Boost",RFA!$C$37&gt;0))),-18%*(IF(SUMIF(RFA!B$51:B$57,"=Rehab",RFA!C$51:C$57)=SUMIF(RFA!B$51:B$57,"=Rehab",RFA!C$51:C$57),0,D$65)),"")</f>
        <v/>
      </c>
      <c r="F120" s="103"/>
      <c r="G120" s="338"/>
      <c r="H120" s="338"/>
      <c r="I120" s="338"/>
      <c r="J120" s="338"/>
    </row>
    <row r="121" spans="2:11" x14ac:dyDescent="0.2">
      <c r="B121" s="268" t="str">
        <f>IF(AND(SUMIF(RFA!B$51:B$57,"=Rehab",RFA!C$51:C$57)&gt;0,IFERROR(VALUE(LEFT(VLOOKUP(1,Identify,3),4)),0)&gt;=2026,OR(AND(RFA!$D$36="Tax-Exempt Bonds Boost",RFA!$C$36&gt;0),AND(RFA!$D$37="Tax-Exempt Bonds Boost",RFA!$C$37&gt;0))),"18% on NC Construction Features Deduction Costs (if NOT 100% AR units): (Based on entries above)","")</f>
        <v/>
      </c>
      <c r="C121" s="268"/>
      <c r="D121" s="269" t="str">
        <f>IF(AND(SUMIF(RFA!B$51:B$57,"=Rehab",RFA!C$51:C$57)&gt;0,IFERROR(VALUE(LEFT(VLOOKUP(1,Identify,3),4)),0)&gt;=2026,OR(AND(RFA!$D$36="Tax-Exempt Bonds Boost",RFA!$C$36&gt;0),AND(RFA!$D$37="Tax-Exempt Bonds Boost",RFA!$C$37&gt;0))),-18%*(IF(SUMIF(RFA!B$51:B$57,"=Rehab",RFA!C$51:C$57)=SUMIF(RFA!B$51:B$57,"=Rehab",RFA!C$51:C$57),0,D$66)),"")</f>
        <v/>
      </c>
      <c r="F121" s="103"/>
    </row>
    <row r="122" spans="2:11" x14ac:dyDescent="0.2">
      <c r="B122" s="265" t="str">
        <f>IF(AND(SUMIF(RFA!B$51:B$57,"=Rehab",RFA!C$51:C$57)&gt;0,IFERROR(VALUE(LEFT(VLOOKUP(1,Identify,3),4)),0)&gt;=2026,OR(AND(RFA!$D$36="Tax-Exempt Bonds Boost",RFA!$C$36&gt;0),AND(RFA!$D$37="Tax-Exempt Bonds Boost",RFA!$C$37&gt;0))),"Total of Developer Fee calculations on Non-Acquistion Costs:","")</f>
        <v/>
      </c>
      <c r="C122" s="265"/>
      <c r="D122" s="111" t="str">
        <f>IF(AND(SUMIF(RFA!B$51:B$57,"=Rehab",RFA!C$51:C$57)&gt;0,IFERROR(VALUE(LEFT(VLOOKUP(1,Identify,3),4)),0)&gt;=2026,OR(AND(RFA!$D$36="Tax-Exempt Bonds Boost",RFA!$C$36&gt;0),AND(RFA!$D$37="Tax-Exempt Bonds Boost",RFA!$C$37&gt;0))),SUM(D112:D121),"")</f>
        <v/>
      </c>
      <c r="F122" s="103"/>
    </row>
    <row r="123" spans="2:11" x14ac:dyDescent="0.2">
      <c r="B123" s="270" t="str">
        <f>IF(AND(SUMIF(RFA!B$51:B$57,"=Rehab",RFA!C$51:C$57)&gt;0,IFERROR(VALUE(LEFT(VLOOKUP(1,Identify,3),4)),0)&gt;=2026,OR(AND(RFA!$D$36="Tax-Exempt Bonds Boost",RFA!$C$36&gt;0),AND(RFA!$D$37="Tax-Exempt Bonds Boost",RFA!$C$37&gt;0))),"Total Developer Fee on Non-Acquisition Costs, rounded down to the nearest dollar:","")</f>
        <v/>
      </c>
      <c r="C123" s="270"/>
      <c r="D123" s="102" t="str">
        <f>IF(AND(SUMIF(RFA!B$51:B$57,"=Rehab",RFA!C$51:C$57)&gt;0,IFERROR(VALUE(LEFT(VLOOKUP(1,Identify,3),4)),0)&gt;=2026,OR(AND(RFA!$D$36="Tax-Exempt Bonds Boost",RFA!$C$36&gt;0),AND(RFA!$D$37="Tax-Exempt Bonds Boost",RFA!$C$37&gt;0))),ROUNDDOWN(D122,0),"")</f>
        <v/>
      </c>
      <c r="F123" s="103"/>
    </row>
    <row r="124" spans="2:11" x14ac:dyDescent="0.2">
      <c r="B124" s="268" t="str">
        <f>IF(AND(SUMIF(RFA!B$51:B$57,"=Rehab",RFA!C$51:C$57)&gt;0,IFERROR(VALUE(LEFT(VLOOKUP(1,Identify,3),4)),0)&gt;=2026,OR(AND(RFA!$D$36="Tax-Exempt Bonds Boost",RFA!$C$36&gt;0),AND(RFA!$D$37="Tax-Exempt Bonds Boost",RFA!$C$37&gt;0))),"9% Sublimit on Building Allocation Acquisition Costs for Rehab: (Based on entries above)","")</f>
        <v/>
      </c>
      <c r="C124" s="268"/>
      <c r="D124" s="269" t="str">
        <f>IF(AND(SUMIF(RFA!B$51:B$57,"=Rehab",RFA!C$51:C$57)&gt;0,IFERROR(VALUE(LEFT(VLOOKUP(1,Identify,3),4)),0)&gt;=2026,OR(AND(RFA!$D$36="Tax-Exempt Bonds Boost",RFA!$C$36&gt;0),AND(RFA!$D$37="Tax-Exempt Bonds Boost",RFA!$C$37&gt;0))),ROUNDDOWN(9%*(MIN(D$17,-D$60)-D$61),0),"")</f>
        <v/>
      </c>
      <c r="F124" s="103"/>
    </row>
    <row r="125" spans="2:11" ht="15" customHeight="1" x14ac:dyDescent="0.2">
      <c r="B125" s="270" t="str">
        <f>IF(AND(SUMIF(RFA!B$51:B$57,"=Rehab",RFA!C$51:C$57)&gt;0,IFERROR(VALUE(LEFT(VLOOKUP(1,Identify,3),4)),0)&gt;=2026,OR(AND(RFA!$D$36="Tax-Exempt Bonds Boost",RFA!$C$36&gt;0),AND(RFA!$D$37="Tax-Exempt Bonds Boost",RFA!$C$37&gt;0))),"Total of Sublimits:","")</f>
        <v/>
      </c>
      <c r="C125" s="270"/>
      <c r="D125" s="102" t="str">
        <f>IF(AND(SUMIF(RFA!B$51:B$57,"=Rehab",RFA!C$51:C$57)&gt;0,IFERROR(VALUE(LEFT(VLOOKUP(1,Identify,3),4)),0)&gt;=2026,OR(AND(RFA!$D$36="Tax-Exempt Bonds Boost",RFA!$C$36&gt;0),AND(RFA!$D$37="Tax-Exempt Bonds Boost",RFA!$C$37&gt;0))),SUM(D123:D124),"")</f>
        <v/>
      </c>
      <c r="F125" s="103"/>
    </row>
    <row r="126" spans="2:11" ht="15" customHeight="1" thickBot="1" x14ac:dyDescent="0.25">
      <c r="B126" s="265" t="str">
        <f>IF(AND(SUMIF(RFA!B$51:B$57,"=Rehab",RFA!C$51:C$57)&gt;0,IFERROR(VALUE(LEFT(VLOOKUP(1,Identify,3),4)),0)&gt;=2026,OR(AND(RFA!$D$36="Tax-Exempt Bonds Boost",RFA!$C$36&gt;0),AND(RFA!$D$37="Tax-Exempt Bonds Boost",RFA!$C$37&gt;0))),"18% Maximum Limit:","")</f>
        <v/>
      </c>
      <c r="C126" s="265"/>
      <c r="D126" s="111" t="str">
        <f>IF(AND(SUMIF(RFA!B$51:B$57,"=Rehab",RFA!C$51:C$57)&gt;0,IFERROR(VALUE(LEFT(VLOOKUP(1,Identify,3),4)),0)&gt;=2026,OR(AND(RFA!$D$36="Tax-Exempt Bonds Boost",RFA!$C$36&gt;0),AND(RFA!$D$37="Tax-Exempt Bonds Boost",RFA!$C$37&gt;0))),ROUNDDOWN(18%*(RFA!J58*RFA!C58-(D60+D61+D63+D64+D65+D66+IF(D68=1,D67,0))),0),"")</f>
        <v/>
      </c>
      <c r="F126" s="103"/>
    </row>
    <row r="127" spans="2:11" ht="20.100000000000001" customHeight="1" thickTop="1" x14ac:dyDescent="0.2">
      <c r="B127" s="271" t="str">
        <f>IF(AND(SUMIF(RFA!B$51:B$57,"=Rehab",RFA!C$51:C$57)&gt;0,IFERROR(VALUE(LEFT(VLOOKUP(1,Identify,3),4)),0)&gt;=2026,OR(AND(RFA!$D$36="Tax-Exempt Bonds Boost",RFA!$C$36&gt;0),AND(RFA!$D$37="Tax-Exempt Bonds Boost",RFA!$C$37&gt;0))),"Lesser of Total of Sublimits or 18% Maximum Limt","")</f>
        <v/>
      </c>
      <c r="C127" s="271"/>
      <c r="D127" s="272" t="str">
        <f>IF(AND(SUMIF(RFA!B$51:B$57,"=Rehab",RFA!C$51:C$57)&gt;0,IFERROR(VALUE(LEFT(VLOOKUP(1,Identify,3),4)),0)&gt;=2026,OR(AND(RFA!$D$36="Tax-Exempt Bonds Boost",RFA!$C$36&gt;0),AND(RFA!$D$37="Tax-Exempt Bonds Boost",RFA!$C$37&gt;0))),MIN(D125,D126),"")</f>
        <v/>
      </c>
    </row>
    <row r="128" spans="2:11" ht="30" customHeight="1" x14ac:dyDescent="0.2">
      <c r="B128" s="273" t="str">
        <f>IF(AND(SUMIF(RFA!B$51:B$57,"=Rehab",RFA!C$51:C$57)&gt;0,IFERROR(VALUE(LEFT(VLOOKUP(1,Identify,3),4)),0)&gt;=2026,OR(AND(RFA!$D$36="Tax-Exempt Bonds Boost",RFA!$C$36&gt;0),AND(RFA!$D$37="Tax-Exempt Bonds Boost",RFA!$C$37&gt;0))),"Maximum Non-Acquisition Developer Fee: ("&amp;IF(N(Max_DF_Bond_w_AR_Units)=D$126,"Total Maximum Developer Fee ("&amp;TEXT(N(Max_DF_Bond_w_AR_Units),"$#,##0")&amp;"), less the Maximum Developer Fee on the Building Allocation ("&amp;TEXT(N(Max_Acq_DF_Bond_w_AR_Units),"$#,##0")&amp;")","from Cell D"&amp;ROW(D$123)&amp;" above)"),"")</f>
        <v/>
      </c>
      <c r="D128" s="111" t="str">
        <f>IF(AND(SUMIF(RFA!B$51:B$57,"=Rehab",RFA!C$51:C$57)&gt;0,IFERROR(VALUE(LEFT(VLOOKUP(1,Identify,3),4)),0)&gt;=2026,OR(AND(RFA!$D$36="Tax-Exempt Bonds Boost",RFA!$C$36&gt;0),AND(RFA!$D$37="Tax-Exempt Bonds Boost",RFA!$C$37&gt;0))),N(Max_DF_Bond_w_AR_Units)-N(Max_Acq_DF_Bond_w_AR_Units),"")</f>
        <v/>
      </c>
    </row>
    <row r="130" spans="2:4" x14ac:dyDescent="0.2">
      <c r="B130" s="245" t="str">
        <f>IF(AND(SUMIF(RFA!B$51:B$57,"=Rehab",RFA!C$51:C$57)&gt;0,IFERROR(VALUE(LEFT(VLOOKUP(1,Identify,3),4)),0)&gt;=2026,OR(AND(RFA!$D$36="Tax-Exempt Bonds Boost",RFA!$C$36&gt;0),AND(RFA!$D$37="Tax-Exempt Bonds Boost",RFA!$C$37&gt;0))),"Verifying whether the 36%, 18%, 9% Developer Fee sublimits are more restrictive than the 18% maximum based on Actual Stated Costs:","")</f>
        <v/>
      </c>
      <c r="D130" s="103"/>
    </row>
    <row r="131" spans="2:4" x14ac:dyDescent="0.2">
      <c r="B131" s="266" t="str">
        <f>IF(AND(SUMIF(RFA!B$51:B$57,"=Rehab",RFA!C$51:C$57)&gt;0,IFERROR(VALUE(LEFT(VLOOKUP(1,Identify,3),4)),0)&gt;=2026,OR(AND(RFA!$D$36="Tax-Exempt Bonds Boost",RFA!$C$36&gt;0),AND(RFA!$D$37="Tax-Exempt Bonds Boost",RFA!$C$37&gt;0))),"36% Sublimit on A/R Hard Costs: (Based on entries above)","")</f>
        <v/>
      </c>
      <c r="C131" s="266"/>
      <c r="D131" s="267" t="str">
        <f>IF(AND(SUMIF(RFA!B$51:B$57,"=Rehab",RFA!C$51:C$57)&gt;0,IFERROR(VALUE(LEFT(VLOOKUP(1,Identify,3),4)),0)&gt;=2026,OR(AND(RFA!$D$36="Tax-Exempt Bonds Boost",RFA!$C$36&gt;0),AND(RFA!$D$37="Tax-Exempt Bonds Boost",RFA!$C$37&gt;0))),36%*D55,"")</f>
        <v/>
      </c>
    </row>
    <row r="132" spans="2:4" x14ac:dyDescent="0.2">
      <c r="B132" s="266" t="str">
        <f>IF(AND(SUMIF(RFA!B$51:B$57,"=Rehab",RFA!C$51:C$57)&gt;0,IFERROR(VALUE(LEFT(VLOOKUP(1,Identify,3),4)),0)&gt;=2026,OR(AND(RFA!$D$36="Tax-Exempt Bonds Boost",RFA!$C$36&gt;0),AND(RFA!$D$37="Tax-Exempt Bonds Boost",RFA!$C$37&gt;0))),"18% Sublimit on AR Soft Costs: (Based on entries above)","")</f>
        <v/>
      </c>
      <c r="C132" s="266"/>
      <c r="D132" s="267" t="str">
        <f>IF(AND(SUMIF(RFA!B$51:B$57,"=Rehab",RFA!C$51:C$57)&gt;0,IFERROR(VALUE(LEFT(VLOOKUP(1,Identify,3),4)),0)&gt;=2026,OR(AND(RFA!$D$36="Tax-Exempt Bonds Boost",RFA!$C$36&gt;0),AND(RFA!$D$37="Tax-Exempt Bonds Boost",RFA!$C$37&gt;0))),18%*D56,"")</f>
        <v/>
      </c>
    </row>
    <row r="133" spans="2:4" x14ac:dyDescent="0.2">
      <c r="B133" s="266" t="str">
        <f>IF(AND(SUMIF(RFA!B$51:B$57,"=Rehab",RFA!C$51:C$57)&gt;0,IFERROR(VALUE(LEFT(VLOOKUP(1,Identify,3),4)),0)&gt;=2026,OR(AND(RFA!$D$36="Tax-Exempt Bonds Boost",RFA!$C$36&gt;0),AND(RFA!$D$37="Tax-Exempt Bonds Boost",RFA!$C$37&gt;0))),"18% on any NC portion: (Based on entries above)","")</f>
        <v/>
      </c>
      <c r="C133" s="266"/>
      <c r="D133" s="267" t="str">
        <f>IF(AND(SUMIF(RFA!B$51:B$57,"=Rehab",RFA!C$51:C$57)&gt;0,IFERROR(VALUE(LEFT(VLOOKUP(1,Identify,3),4)),0)&gt;=2026,OR(AND(RFA!$D$36="Tax-Exempt Bonds Boost",RFA!$C$36&gt;0),AND(RFA!$D$37="Tax-Exempt Bonds Boost",RFA!$C$37&gt;0))),18%*D54,"")</f>
        <v/>
      </c>
    </row>
    <row r="134" spans="2:4" x14ac:dyDescent="0.2">
      <c r="B134" s="274" t="str">
        <f>IF(AND(SUMIF(RFA!B$51:B$57,"=Rehab",RFA!C$51:C$57)&gt;0,IFERROR(VALUE(LEFT(VLOOKUP(1,Identify,3),4)),0)&gt;=2026,OR(AND(RFA!$D$36="Tax-Exempt Bonds Boost",RFA!$C$36&gt;0),AND(RFA!$D$37="Tax-Exempt Bonds Boost",RFA!$C$37&gt;0))),"Total of Developer Fee calculations on Non-Acquistion Costs:","")</f>
        <v/>
      </c>
      <c r="C134" s="274"/>
      <c r="D134" s="275" t="str">
        <f>IF(AND(SUMIF(RFA!B$51:B$57,"=Rehab",RFA!C$51:C$57)&gt;0,IFERROR(VALUE(LEFT(VLOOKUP(1,Identify,3),4)),0)&gt;=2026,OR(AND(RFA!$D$36="Tax-Exempt Bonds Boost",RFA!$C$36&gt;0),AND(RFA!$D$37="Tax-Exempt Bonds Boost",RFA!$C$37&gt;0))),SUM(D131:D133),"")</f>
        <v/>
      </c>
    </row>
    <row r="135" spans="2:4" x14ac:dyDescent="0.2">
      <c r="B135" s="270" t="str">
        <f>IF(AND(SUMIF(RFA!B$51:B$57,"=Rehab",RFA!C$51:C$57)&gt;0,IFERROR(VALUE(LEFT(VLOOKUP(1,Identify,3),4)),0)&gt;=2026,OR(AND(RFA!$D$36="Tax-Exempt Bonds Boost",RFA!$C$36&gt;0),AND(RFA!$D$37="Tax-Exempt Bonds Boost",RFA!$C$37&gt;0))),"Total Developer Fee on Non-Acquisition Costs, rounded down to the nearest dollar:","")</f>
        <v/>
      </c>
      <c r="C135" s="270"/>
      <c r="D135" s="102" t="str">
        <f>IF(AND(SUMIF(RFA!B$51:B$57,"=Rehab",RFA!C$51:C$57)&gt;0,IFERROR(VALUE(LEFT(VLOOKUP(1,Identify,3),4)),0)&gt;=2026,OR(AND(RFA!$D$36="Tax-Exempt Bonds Boost",RFA!$C$36&gt;0),AND(RFA!$D$37="Tax-Exempt Bonds Boost",RFA!$C$37&gt;0))),ROUNDDOWN(D134,0),"")</f>
        <v/>
      </c>
    </row>
    <row r="136" spans="2:4" x14ac:dyDescent="0.2">
      <c r="B136" s="268" t="str">
        <f>IF(AND(SUMIF(RFA!B$51:B$57,"=Rehab",RFA!C$51:C$57)&gt;0,IFERROR(VALUE(LEFT(VLOOKUP(1,Identify,3),4)),0)&gt;=2026,OR(AND(RFA!$D$36="Tax-Exempt Bonds Boost",RFA!$C$36&gt;0),AND(RFA!$D$37="Tax-Exempt Bonds Boost",RFA!$C$37&gt;0))),"9% Sublimit on Building Allocation Acquisition Costs for Rehab: (Based on entries above)","")</f>
        <v/>
      </c>
      <c r="C136" s="268"/>
      <c r="D136" s="269" t="str">
        <f>IF(AND(SUMIF(RFA!B$51:B$57,"=Rehab",RFA!C$51:C$57)&gt;0,IFERROR(VALUE(LEFT(VLOOKUP(1,Identify,3),4)),0)&gt;=2026,OR(AND(RFA!$D$36="Tax-Exempt Bonds Boost",RFA!$C$36&gt;0),AND(RFA!$D$37="Tax-Exempt Bonds Boost",RFA!$C$37&gt;0))),ROUNDDOWN(9%*(MIN(D$17,-D$60)-D$61),0),"")</f>
        <v/>
      </c>
    </row>
    <row r="137" spans="2:4" ht="15" customHeight="1" x14ac:dyDescent="0.2">
      <c r="B137" s="270" t="str">
        <f>IF(AND(SUMIF(RFA!B$51:B$57,"=Rehab",RFA!C$51:C$57)&gt;0,IFERROR(VALUE(LEFT(VLOOKUP(1,Identify,3),4)),0)&gt;=2026,OR(AND(RFA!$D$36="Tax-Exempt Bonds Boost",RFA!$C$36&gt;0),AND(RFA!$D$37="Tax-Exempt Bonds Boost",RFA!$C$37&gt;0))),"Total of Sublimits:","")</f>
        <v/>
      </c>
      <c r="C137" s="270"/>
      <c r="D137" s="102" t="str">
        <f>IF(AND(SUMIF(RFA!B$51:B$57,"=Rehab",RFA!C$51:C$57)&gt;0,IFERROR(VALUE(LEFT(VLOOKUP(1,Identify,3),4)),0)&gt;=2026,OR(AND(RFA!$D$36="Tax-Exempt Bonds Boost",RFA!$C$36&gt;0),AND(RFA!$D$37="Tax-Exempt Bonds Boost",RFA!$C$37&gt;0))),SUM(D135:D136),"")</f>
        <v/>
      </c>
    </row>
    <row r="138" spans="2:4" ht="15" customHeight="1" thickBot="1" x14ac:dyDescent="0.25">
      <c r="B138" s="265" t="str">
        <f>IF(AND(SUMIF(RFA!B$51:B$57,"=Rehab",RFA!C$51:C$57)&gt;0,IFERROR(VALUE(LEFT(VLOOKUP(1,Identify,3),4)),0)&gt;=2026,OR(AND(RFA!$D$36="Tax-Exempt Bonds Boost",RFA!$C$36&gt;0),AND(RFA!$D$37="Tax-Exempt Bonds Boost",RFA!$C$37&gt;0))),"18% Maximum Limit:","")</f>
        <v/>
      </c>
      <c r="C138" s="265"/>
      <c r="D138" s="111" t="str">
        <f>IF(AND(SUMIF(RFA!B$51:B$57,"=Rehab",RFA!C$51:C$57)&gt;0,IFERROR(VALUE(LEFT(VLOOKUP(1,Identify,3),4)),0)&gt;=2026,OR(AND(RFA!$D$36="Tax-Exempt Bonds Boost",RFA!$C$36&gt;0),AND(RFA!$D$37="Tax-Exempt Bonds Boost",RFA!$C$37&gt;0))),ROUNDDOWN(18%*D69,0),"")</f>
        <v/>
      </c>
    </row>
    <row r="139" spans="2:4" ht="20.100000000000001" customHeight="1" thickTop="1" x14ac:dyDescent="0.2">
      <c r="B139" s="271" t="str">
        <f>IF(AND(SUMIF(RFA!B$51:B$57,"=Rehab",RFA!C$51:C$57)&gt;0,IFERROR(VALUE(LEFT(VLOOKUP(1,Identify,3),4)),0)&gt;=2026,OR(AND(RFA!$D$36="Tax-Exempt Bonds Boost",RFA!$C$36&gt;0),AND(RFA!$D$37="Tax-Exempt Bonds Boost",RFA!$C$37&gt;0))),"Lesser of Total of Sublimits or 18% Maximum Limt","")</f>
        <v/>
      </c>
      <c r="C139" s="271"/>
      <c r="D139" s="272" t="str">
        <f>IF(AND(SUMIF(RFA!B$51:B$57,"=Rehab",RFA!C$51:C$57)&gt;0,IFERROR(VALUE(LEFT(VLOOKUP(1,Identify,3),4)),0)&gt;=2026,OR(AND(RFA!$D$36="Tax-Exempt Bonds Boost",RFA!$C$36&gt;0),AND(RFA!$D$37="Tax-Exempt Bonds Boost",RFA!$C$37&gt;0))),MIN(D137,D138),"")</f>
        <v/>
      </c>
    </row>
    <row r="140" spans="2:4" ht="30" customHeight="1" x14ac:dyDescent="0.2">
      <c r="B140" s="273" t="str">
        <f>IF(AND(SUMIF(RFA!B$51:B$57,"=Rehab",RFA!C$51:C$57)&gt;0,IFERROR(VALUE(LEFT(VLOOKUP(1,Identify,3),4)),0)&gt;=2026,OR(AND(RFA!$D$36="Tax-Exempt Bonds Boost",RFA!$C$36&gt;0),AND(RFA!$D$37="Tax-Exempt Bonds Boost",RFA!$C$37&gt;0))),"Maximum Non-Acquisition Developer Fee: ("&amp;IF(D$139=D$138,"Total Maximum Developer Fee ("&amp;TEXT(D$139,"$#,##0")&amp;"), less the Maximum Developer Fee on the Building Allocation ("&amp;TEXT(D$136,"$#,##0")&amp;")","from Cell D"&amp;ROW(D$135)&amp;" above)"),"")</f>
        <v/>
      </c>
      <c r="D140" s="111" t="str">
        <f>IF(AND(SUMIF(RFA!B$51:B$57,"=Rehab",RFA!C$51:C$57)&gt;0,IFERROR(VALUE(LEFT(VLOOKUP(1,Identify,3),4)),0)&gt;=2026,OR(AND(RFA!$D$36="Tax-Exempt Bonds Boost",RFA!$C$36&gt;0),AND(RFA!$D$37="Tax-Exempt Bonds Boost",RFA!$C$37&gt;0))),D$139-D$136,"")</f>
        <v/>
      </c>
    </row>
  </sheetData>
  <sheetProtection algorithmName="SHA-512" hashValue="LUFfXPxBeJxCbKHoygWBhqH5gNnaOthCYeSnQeEOfDhgkLeU9U5149G+DyjO3kMUtyLolm2V1N+IEDSRQL4img==" saltValue="9vG+FJVVTZoK6HerzzQQWw==" spinCount="100000" sheet="1" objects="1" scenarios="1"/>
  <mergeCells count="6">
    <mergeCell ref="G119:J120"/>
    <mergeCell ref="G107:J109"/>
    <mergeCell ref="J5:N6"/>
    <mergeCell ref="I5:I6"/>
    <mergeCell ref="B1:B2"/>
    <mergeCell ref="K107:K109"/>
  </mergeCells>
  <conditionalFormatting sqref="B83:D90">
    <cfRule type="expression" dxfId="31" priority="37">
      <formula>$D$9&lt;&gt;21%</formula>
    </cfRule>
  </conditionalFormatting>
  <conditionalFormatting sqref="B15:F16">
    <cfRule type="expression" dxfId="29" priority="34">
      <formula>$D$14="No"</formula>
    </cfRule>
  </conditionalFormatting>
  <conditionalFormatting sqref="D14">
    <cfRule type="expression" dxfId="28" priority="16">
      <formula>AND(D14="No",D60&lt;&gt;0)</formula>
    </cfRule>
  </conditionalFormatting>
  <conditionalFormatting sqref="D37:D39">
    <cfRule type="expression" dxfId="27" priority="17">
      <formula>$D$14="No"</formula>
    </cfRule>
  </conditionalFormatting>
  <conditionalFormatting sqref="D42:D45">
    <cfRule type="expression" dxfId="26" priority="405">
      <formula>D$36="Yes"</formula>
    </cfRule>
  </conditionalFormatting>
  <conditionalFormatting sqref="D48">
    <cfRule type="expression" dxfId="25" priority="18">
      <formula>D$47="Yes"</formula>
    </cfRule>
  </conditionalFormatting>
  <conditionalFormatting sqref="F7:F8">
    <cfRule type="cellIs" dxfId="24" priority="40" operator="equal">
      <formula>"NOT in Balance"</formula>
    </cfRule>
  </conditionalFormatting>
  <conditionalFormatting sqref="F58">
    <cfRule type="expression" dxfId="23" priority="13">
      <formula>$D58&lt;&gt;SUM(D54:D57)+D26</formula>
    </cfRule>
  </conditionalFormatting>
  <conditionalFormatting sqref="F59:F66">
    <cfRule type="expression" dxfId="22" priority="43">
      <formula>$D59&gt;0</formula>
    </cfRule>
  </conditionalFormatting>
  <conditionalFormatting sqref="G17">
    <cfRule type="expression" dxfId="21" priority="15">
      <formula>IFERROR(FIND("EXCEED",G17),0)&gt;0</formula>
    </cfRule>
  </conditionalFormatting>
  <conditionalFormatting sqref="G59">
    <cfRule type="cellIs" dxfId="20" priority="14" operator="notEqual">
      <formula>""</formula>
    </cfRule>
  </conditionalFormatting>
  <conditionalFormatting sqref="G107:K120">
    <cfRule type="expression" dxfId="19" priority="8">
      <formula>$H$111=0</formula>
    </cfRule>
  </conditionalFormatting>
  <conditionalFormatting sqref="H111">
    <cfRule type="cellIs" dxfId="18" priority="1" operator="equal">
      <formula>0</formula>
    </cfRule>
  </conditionalFormatting>
  <dataValidations count="2">
    <dataValidation type="list" allowBlank="1" showInputMessage="1" showErrorMessage="1" promptTitle="Choose Maximum Developer Fee" sqref="D9" xr:uid="{E84CB51B-812E-406E-9531-D4F54C60956F}">
      <formula1>$B$95:$B$98</formula1>
    </dataValidation>
    <dataValidation type="list" allowBlank="1" showInputMessage="1" showErrorMessage="1" sqref="D14" xr:uid="{D0E8D87A-F375-4E0A-95E6-5F56529B435B}">
      <formula1>$A$95:$A$96</formula1>
    </dataValidation>
  </dataValidations>
  <printOptions horizontalCentered="1" headings="1" gridLines="1"/>
  <pageMargins left="0.25" right="0.25" top="0.25" bottom="0.25" header="0.3" footer="0.3"/>
  <pageSetup scale="74"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1" id="{39649C51-2678-4F5D-967B-D82AA67F831D}">
            <xm:f>AND(RFA!$C$58&gt;0,IFERROR(VALUE(LEFT(VLOOKUP(1,Identify,3),4)),0)&gt;=2026,OR(AND(RFA!$D$36="Tax-Exempt Bonds Boost",RFA!$C$36&gt;0),AND(RFA!$D$37="Tax-Exempt Bonds Boost",RFA!$C$37&gt;0)))=FALSE</xm:f>
            <x14:dxf>
              <fill>
                <patternFill>
                  <bgColor theme="0" tint="-4.9989318521683403E-2"/>
                </patternFill>
              </fill>
            </x14:dxf>
          </x14:cfRule>
          <xm:sqref>B54:B57 D54:D57 F54:F57</xm:sqref>
        </x14:conditionalFormatting>
        <x14:conditionalFormatting xmlns:xm="http://schemas.microsoft.com/office/excel/2006/main">
          <x14:cfRule type="expression" priority="12" id="{15EADF07-BC9D-4309-AD17-C0C210F20DAB}">
            <xm:f>AND(SUMIF(RFA!$B$51:$B$57,"=Rehab",RFA!$C$51:$C$57)&gt;0,IFERROR(VALUE(LEFT(VLOOKUP(1,Identify,3),4)),0)&gt;=2026,OR(AND(RFA!$D$36="Tax-Exempt Bonds Boost",RFA!$C$36&gt;0),AND(RFA!$D$37="Tax-Exempt Bonds Boost",RFA!$C$37&gt;0)))=FALSE</xm:f>
            <x14:dxf>
              <fill>
                <patternFill>
                  <bgColor theme="0" tint="-4.9989318521683403E-2"/>
                </patternFill>
              </fill>
              <border>
                <left/>
                <right/>
                <top/>
                <bottom/>
                <vertical/>
                <horizontal/>
              </border>
            </x14:dxf>
          </x14:cfRule>
          <xm:sqref>B111:D140</xm:sqref>
        </x14:conditionalFormatting>
        <x14:conditionalFormatting xmlns:xm="http://schemas.microsoft.com/office/excel/2006/main">
          <x14:cfRule type="expression" priority="23" id="{1146F9AD-6FBE-45E9-A6C5-9D9997A7C264}">
            <xm:f>AND(SUMIF(RFA!$B$51:$B$57,"=Rehab",RFA!$C$51:$C$57)&gt;0,IFERROR(VALUE(LEFT(VLOOKUP(1,Identify,3),4)),0)&gt;=2026,OR(AND(RFA!$D$36="Tax-Exempt Bonds Boost",RFA!$C$36&gt;0),AND(RFA!$D$37="Tax-Exempt Bonds Boost",RFA!$C$37&gt;0)))=FALSE</xm:f>
            <x14:dxf>
              <font>
                <color theme="0" tint="-0.24994659260841701"/>
              </font>
              <fill>
                <patternFill patternType="solid">
                  <bgColor theme="0" tint="-4.9989318521683403E-2"/>
                </patternFill>
              </fill>
            </x14:dxf>
          </x14:cfRule>
          <xm:sqref>K107:K118 G112:J112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EBA44-CF97-4227-B8E4-FF89953A1305}">
  <sheetPr codeName="Sheet3"/>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A3A6C-9675-4177-878F-09EBA0085E62}">
  <sheetPr codeName="Sheet4">
    <pageSetUpPr fitToPage="1"/>
  </sheetPr>
  <dimension ref="A1:N94"/>
  <sheetViews>
    <sheetView zoomScale="115" zoomScaleNormal="115" zoomScaleSheetLayoutView="100" workbookViewId="0">
      <selection activeCell="B20" sqref="B20"/>
    </sheetView>
  </sheetViews>
  <sheetFormatPr defaultColWidth="9.140625" defaultRowHeight="12.75" outlineLevelRow="1" x14ac:dyDescent="0.2"/>
  <cols>
    <col min="1" max="1" width="12.7109375" style="82" customWidth="1"/>
    <col min="2" max="2" width="98.85546875" style="82" customWidth="1"/>
    <col min="3" max="3" width="1.140625" style="82" customWidth="1"/>
    <col min="4" max="4" width="27.7109375" style="82" customWidth="1"/>
    <col min="5" max="5" width="1.140625" style="82" customWidth="1"/>
    <col min="6" max="8" width="23.5703125" style="82" customWidth="1"/>
    <col min="9" max="11" width="14.42578125" style="82" customWidth="1"/>
    <col min="12" max="12" width="9.140625" style="82" customWidth="1"/>
    <col min="13" max="16384" width="9.140625" style="82"/>
  </cols>
  <sheetData>
    <row r="1" spans="2:14" ht="24.95" customHeight="1" x14ac:dyDescent="0.2">
      <c r="B1" s="347" t="s">
        <v>115</v>
      </c>
      <c r="C1" s="79"/>
      <c r="D1" s="351" t="s">
        <v>126</v>
      </c>
      <c r="E1" s="352"/>
      <c r="F1" s="353"/>
    </row>
    <row r="2" spans="2:14" x14ac:dyDescent="0.2">
      <c r="B2" s="348"/>
      <c r="C2" s="79"/>
      <c r="D2" s="168" t="s">
        <v>127</v>
      </c>
      <c r="E2" s="134"/>
      <c r="F2" s="168" t="s">
        <v>128</v>
      </c>
      <c r="K2" s="83"/>
    </row>
    <row r="3" spans="2:14" ht="24" customHeight="1" x14ac:dyDescent="0.2">
      <c r="B3" s="84"/>
      <c r="C3" s="79"/>
      <c r="K3" s="83"/>
    </row>
    <row r="4" spans="2:14" x14ac:dyDescent="0.2">
      <c r="B4" s="85" t="s">
        <v>116</v>
      </c>
      <c r="C4" s="86"/>
      <c r="D4" s="87" t="str">
        <f ca="1">IF(CELL("type",RFA!D5)="b","",RFA!D5)</f>
        <v/>
      </c>
      <c r="E4" s="88"/>
      <c r="F4" s="197"/>
      <c r="I4" s="184">
        <v>2</v>
      </c>
      <c r="J4" s="134" t="s">
        <v>433</v>
      </c>
      <c r="K4" s="134"/>
      <c r="L4" s="134"/>
      <c r="M4" s="134"/>
      <c r="N4" s="135"/>
    </row>
    <row r="5" spans="2:14" x14ac:dyDescent="0.2">
      <c r="B5" s="85" t="s">
        <v>117</v>
      </c>
      <c r="C5" s="86"/>
      <c r="D5" s="87" t="str">
        <f ca="1">IF(CELL("type",RFA!D6)="b","",RFA!D6)</f>
        <v/>
      </c>
      <c r="E5" s="88"/>
      <c r="F5" s="197"/>
      <c r="I5" s="345">
        <v>0.05</v>
      </c>
      <c r="J5" s="341" t="s">
        <v>209</v>
      </c>
      <c r="K5" s="341"/>
      <c r="L5" s="341"/>
      <c r="M5" s="341"/>
      <c r="N5" s="342"/>
    </row>
    <row r="6" spans="2:14" x14ac:dyDescent="0.2">
      <c r="B6" s="85" t="s">
        <v>118</v>
      </c>
      <c r="C6" s="86"/>
      <c r="D6" s="89" t="str">
        <f>IFERROR(VLOOKUP(1,RFA!C15:D32,2,FALSE),"")</f>
        <v/>
      </c>
      <c r="E6" s="90"/>
      <c r="F6" s="198"/>
      <c r="I6" s="346"/>
      <c r="J6" s="343"/>
      <c r="K6" s="343"/>
      <c r="L6" s="343"/>
      <c r="M6" s="343"/>
      <c r="N6" s="344"/>
    </row>
    <row r="7" spans="2:14" x14ac:dyDescent="0.2">
      <c r="B7" s="85" t="s">
        <v>8</v>
      </c>
      <c r="C7" s="86"/>
      <c r="D7" s="91">
        <f>SUMIF(RFA!B51:B57,"NC",RFA!C51:C57)</f>
        <v>0</v>
      </c>
      <c r="E7" s="92"/>
      <c r="F7" s="199"/>
      <c r="G7" s="93"/>
      <c r="H7" s="83"/>
      <c r="I7" s="83"/>
      <c r="J7" s="83"/>
      <c r="K7" s="83"/>
    </row>
    <row r="8" spans="2:14" x14ac:dyDescent="0.2">
      <c r="B8" s="85" t="s">
        <v>9</v>
      </c>
      <c r="C8" s="86"/>
      <c r="D8" s="91">
        <f>SUMIF(RFA!B51:B57,"Rehab",RFA!C51:C57)</f>
        <v>0</v>
      </c>
      <c r="E8" s="92"/>
      <c r="F8" s="199"/>
      <c r="G8" s="93"/>
      <c r="H8" s="94"/>
      <c r="I8" s="83"/>
    </row>
    <row r="9" spans="2:14" x14ac:dyDescent="0.2">
      <c r="B9" s="89" t="s">
        <v>119</v>
      </c>
      <c r="C9" s="89"/>
      <c r="D9" s="194">
        <f>CUR!D9</f>
        <v>0.16</v>
      </c>
      <c r="E9" s="35"/>
      <c r="F9" s="200"/>
      <c r="G9" s="95"/>
    </row>
    <row r="10" spans="2:14" x14ac:dyDescent="0.2">
      <c r="B10" s="89" t="s">
        <v>221</v>
      </c>
      <c r="C10" s="91"/>
      <c r="D10" s="33">
        <f>RFA!J58</f>
        <v>0</v>
      </c>
      <c r="E10" s="97"/>
      <c r="F10" s="201"/>
      <c r="G10" s="98"/>
      <c r="J10" s="96"/>
    </row>
    <row r="11" spans="2:14" x14ac:dyDescent="0.2">
      <c r="B11" s="89" t="s">
        <v>120</v>
      </c>
      <c r="C11" s="89"/>
      <c r="D11" s="99">
        <f>D7+D8</f>
        <v>0</v>
      </c>
      <c r="E11" s="100"/>
      <c r="F11" s="202"/>
      <c r="G11" s="97"/>
    </row>
    <row r="12" spans="2:14" x14ac:dyDescent="0.2">
      <c r="B12" s="85" t="s">
        <v>219</v>
      </c>
      <c r="C12" s="85"/>
      <c r="D12" s="136">
        <f>ROUND(D10*D11,I4)</f>
        <v>0</v>
      </c>
      <c r="E12" s="103"/>
      <c r="F12" s="196"/>
      <c r="H12" s="104"/>
      <c r="I12" s="103"/>
    </row>
    <row r="13" spans="2:14" x14ac:dyDescent="0.2">
      <c r="B13" s="101" t="s">
        <v>287</v>
      </c>
      <c r="C13" s="101"/>
      <c r="D13" s="287">
        <f>IF(H$85&gt;0,J87,CUR!D13)</f>
        <v>0</v>
      </c>
      <c r="E13" s="103"/>
      <c r="F13" s="196"/>
      <c r="G13" s="95" t="s">
        <v>300</v>
      </c>
      <c r="H13" s="95"/>
      <c r="I13" s="103"/>
    </row>
    <row r="14" spans="2:14" x14ac:dyDescent="0.2">
      <c r="B14" s="85" t="s">
        <v>222</v>
      </c>
      <c r="C14" s="101"/>
      <c r="D14" s="195" t="str">
        <f>CUR!D14</f>
        <v>Yes</v>
      </c>
      <c r="E14" s="103"/>
      <c r="F14" s="196"/>
      <c r="G14" s="95"/>
      <c r="H14" s="104"/>
      <c r="I14" s="103"/>
    </row>
    <row r="15" spans="2:14" x14ac:dyDescent="0.2">
      <c r="B15" s="105" t="str">
        <f>IF(D14="Yes","Lesser of Appraised Value or Actual Purchase Price of the Entire Property","")</f>
        <v>Lesser of Appraised Value or Actual Purchase Price of the Entire Property</v>
      </c>
      <c r="C15" s="89"/>
      <c r="D15" s="111">
        <f>CUR!D15</f>
        <v>0</v>
      </c>
      <c r="E15" s="103"/>
      <c r="F15" s="196"/>
      <c r="G15" s="95"/>
      <c r="H15" s="103"/>
      <c r="I15" s="103"/>
    </row>
    <row r="16" spans="2:14" x14ac:dyDescent="0.2">
      <c r="B16" s="105" t="str">
        <f>IF(D14="Yes","Lowest Land Cost Allocation of the Three Land Cost Allocation Methods","")</f>
        <v>Lowest Land Cost Allocation of the Three Land Cost Allocation Methods</v>
      </c>
      <c r="C16" s="89"/>
      <c r="D16" s="111">
        <f>CUR!D16</f>
        <v>0</v>
      </c>
      <c r="E16" s="103"/>
      <c r="F16" s="196"/>
      <c r="G16" s="95"/>
      <c r="H16" s="103"/>
      <c r="I16" s="103"/>
    </row>
    <row r="17" spans="2:13" x14ac:dyDescent="0.2">
      <c r="B17" s="85" t="s">
        <v>220</v>
      </c>
      <c r="C17" s="105"/>
      <c r="D17" s="107">
        <f>CUR!D17</f>
        <v>0</v>
      </c>
      <c r="E17" s="103"/>
      <c r="F17" s="196"/>
      <c r="G17" s="95"/>
      <c r="I17" s="103"/>
    </row>
    <row r="18" spans="2:13" x14ac:dyDescent="0.2">
      <c r="B18" s="85" t="s">
        <v>289</v>
      </c>
      <c r="C18" s="105"/>
      <c r="D18" s="196"/>
      <c r="E18" s="103"/>
      <c r="F18" s="186">
        <v>0</v>
      </c>
      <c r="G18" s="95"/>
      <c r="I18" s="103"/>
    </row>
    <row r="19" spans="2:13" x14ac:dyDescent="0.2">
      <c r="B19" s="101" t="s">
        <v>288</v>
      </c>
      <c r="C19" s="108"/>
      <c r="D19" s="293">
        <f>CUR!D19</f>
        <v>0</v>
      </c>
      <c r="E19" s="103"/>
      <c r="F19" s="109">
        <f>ROUNDDOWN((D17+F18)*IF(AND(RFA!$C$58&gt;0,IFERROR(VALUE(LEFT(VLOOKUP(1,Identify,3),4)),0)&gt;=2026,OR(AND(RFA!$D$36="Tax-Exempt Bonds Boost",RFA!$C$36&gt;0),AND(RFA!$D$37="Tax-Exempt Bonds Boost",RFA!$C$37&gt;0))),9%,D9),0)</f>
        <v>0</v>
      </c>
      <c r="G19" s="95" t="s">
        <v>301</v>
      </c>
      <c r="H19" s="95"/>
      <c r="I19" s="103"/>
    </row>
    <row r="20" spans="2:13" x14ac:dyDescent="0.2">
      <c r="B20" s="101" t="s">
        <v>208</v>
      </c>
      <c r="C20" s="108"/>
      <c r="D20" s="109">
        <f>D13+D19</f>
        <v>0</v>
      </c>
      <c r="E20" s="103"/>
      <c r="F20" s="109">
        <f>F19+D13</f>
        <v>0</v>
      </c>
      <c r="G20" s="160"/>
      <c r="H20" s="95"/>
    </row>
    <row r="21" spans="2:13" x14ac:dyDescent="0.2">
      <c r="B21" s="151" t="s">
        <v>258</v>
      </c>
      <c r="C21" s="152"/>
      <c r="D21" s="153">
        <f>D12+D20</f>
        <v>0</v>
      </c>
      <c r="E21" s="143"/>
      <c r="F21" s="153">
        <f>F20+D12</f>
        <v>0</v>
      </c>
      <c r="G21" s="144" t="s">
        <v>237</v>
      </c>
      <c r="H21" s="143"/>
      <c r="I21" s="103"/>
      <c r="J21" s="161"/>
    </row>
    <row r="22" spans="2:13" x14ac:dyDescent="0.2">
      <c r="B22" s="294" t="s">
        <v>430</v>
      </c>
      <c r="C22" s="108"/>
      <c r="D22" s="196"/>
      <c r="E22" s="103"/>
      <c r="F22" s="185">
        <v>0</v>
      </c>
      <c r="G22" s="283" t="str">
        <f>IF(AND(RFA!$C$58&gt;0,IFERROR(VALUE(LEFT(VLOOKUP(1,Identify,3),4)),0)&gt;=2026,OR(AND(RFA!$D$36="Tax-Exempt Bonds Boost",RFA!$C$36&gt;0),AND(RFA!$D$37="Tax-Exempt Bonds Boost",RFA!$C$37&gt;0))),"Enter only Rehab Hard Costs. Enter all Soft Costs and any New Construction Hard Costs on next line.","")</f>
        <v/>
      </c>
      <c r="J22" s="169"/>
      <c r="K22" s="95"/>
      <c r="L22" s="103"/>
      <c r="M22" s="103"/>
    </row>
    <row r="23" spans="2:13" x14ac:dyDescent="0.2">
      <c r="B23" s="294" t="s">
        <v>431</v>
      </c>
      <c r="C23" s="291"/>
      <c r="D23" s="196"/>
      <c r="E23" s="103"/>
      <c r="F23" s="185">
        <v>0</v>
      </c>
      <c r="G23" s="283" t="str">
        <f>IF(AND(RFA!$C$58&gt;0,IFERROR(VALUE(LEFT(VLOOKUP(1,Identify,3),4)),0)&gt;=2026,OR(AND(RFA!$D$36="Tax-Exempt Bonds Boost",RFA!$C$36&gt;0),AND(RFA!$D$37="Tax-Exempt Bonds Boost",RFA!$C$37&gt;0))),"Enter all Soft Costs and any New Construction Hard Costs.","")</f>
        <v/>
      </c>
      <c r="J23" s="169"/>
      <c r="K23" s="95"/>
      <c r="L23" s="103"/>
      <c r="M23" s="103"/>
    </row>
    <row r="24" spans="2:13" x14ac:dyDescent="0.2">
      <c r="B24" s="101" t="s">
        <v>239</v>
      </c>
      <c r="C24" s="108"/>
      <c r="D24" s="109">
        <f>CUR!D24</f>
        <v>0</v>
      </c>
      <c r="E24" s="103"/>
      <c r="F24" s="102">
        <f>D24+F22+F23</f>
        <v>0</v>
      </c>
      <c r="G24" s="103"/>
      <c r="H24" s="207"/>
      <c r="J24" s="169"/>
      <c r="K24" s="95"/>
      <c r="L24" s="103"/>
      <c r="M24" s="103"/>
    </row>
    <row r="25" spans="2:13" x14ac:dyDescent="0.2">
      <c r="B25" s="89" t="s">
        <v>277</v>
      </c>
      <c r="C25" s="108"/>
      <c r="D25" s="196"/>
      <c r="E25" s="103"/>
      <c r="F25" s="159" t="str">
        <f>IF(N(D48)&lt;0,"Yes","No")</f>
        <v>No</v>
      </c>
      <c r="G25" s="190" t="str">
        <f>"Exhibit C.1.c.(1)("&amp;IF(F25="No",IF(F33&lt;=F21,"a","b"),IF(F33&lt;D52,"c","d"))&amp;") will apply"</f>
        <v>Exhibit C.1.c.(1)(a) will apply</v>
      </c>
      <c r="H25" s="95"/>
      <c r="I25" s="103"/>
    </row>
    <row r="26" spans="2:13" ht="12" customHeight="1" x14ac:dyDescent="0.2">
      <c r="B26" s="89" t="s">
        <v>245</v>
      </c>
      <c r="C26" s="108"/>
      <c r="D26" s="111">
        <f>CUR!D26</f>
        <v>0</v>
      </c>
      <c r="E26" s="103"/>
      <c r="F26" s="186">
        <v>0</v>
      </c>
      <c r="G26" s="95" t="s">
        <v>260</v>
      </c>
      <c r="H26" s="95"/>
      <c r="I26" s="103"/>
      <c r="J26" s="103"/>
    </row>
    <row r="27" spans="2:13" x14ac:dyDescent="0.2">
      <c r="B27" s="89" t="s">
        <v>122</v>
      </c>
      <c r="C27" s="108"/>
      <c r="D27" s="145">
        <f>IF(D24=0,0,D26/D24)</f>
        <v>0</v>
      </c>
      <c r="E27" s="103"/>
      <c r="F27" s="145">
        <f>IF(F24=0,0,F26/F24)</f>
        <v>0</v>
      </c>
      <c r="G27" s="95"/>
      <c r="H27" s="95"/>
      <c r="I27" s="103"/>
    </row>
    <row r="28" spans="2:13" x14ac:dyDescent="0.2">
      <c r="B28" s="290" t="str">
        <f>CUR!B28</f>
        <v>Maximum Developer Fee Based on 16% Fee Limit</v>
      </c>
      <c r="C28" s="291"/>
      <c r="D28" s="292">
        <f>CUR!D28</f>
        <v>0</v>
      </c>
      <c r="E28" s="103"/>
      <c r="F28" s="170">
        <f>IF(D9&lt;&gt;21%,ROUNDDOWN(F24*D9,0),ROUNDDOWN(F24*16%,0)+ROUNDDOWN(F24*I5,0))</f>
        <v>0</v>
      </c>
      <c r="G28" s="95" t="s">
        <v>283</v>
      </c>
      <c r="H28" s="95" t="str">
        <f>IF(F$24&lt;1,"","( Stated FCCAP Development Costs of "&amp;TEXT(F24,"$#,##0.00")&amp;" x "&amp;TEXT(IF($D9&lt;&gt;21%,$D9,16%),"0%")&amp;", rounded down to nearest $1 )"&amp;IF($D9&lt;&gt;21%,""," + "&amp;TEXT(F24,"$#,##0.00")&amp;" x "&amp;TEXT($I5,"0%")&amp;", rounded down to nearest $1 )"))</f>
        <v/>
      </c>
      <c r="I28" s="103"/>
    </row>
    <row r="29" spans="2:13" x14ac:dyDescent="0.2">
      <c r="B29" s="110" t="s">
        <v>246</v>
      </c>
      <c r="C29" s="108"/>
      <c r="D29" s="171">
        <f>IF(D28&gt;=D26,0,D28-D26)</f>
        <v>0</v>
      </c>
      <c r="E29" s="103"/>
      <c r="F29" s="171">
        <f>IF(F28&gt;=F26,0,F28-F26)</f>
        <v>0</v>
      </c>
      <c r="G29" s="95" t="s">
        <v>283</v>
      </c>
      <c r="H29" s="95" t="str">
        <f>IF(OR(F$24&lt;1,F$29=0),"","( Maximum % DF of "&amp;TEXT(F28,"$#,##0.00")&amp;", less initial stated DF of "&amp;TEXT(F26,"$#,##0.00")&amp;" )")</f>
        <v/>
      </c>
      <c r="I29" s="103"/>
    </row>
    <row r="30" spans="2:13" x14ac:dyDescent="0.2">
      <c r="B30" s="89" t="str">
        <f>"Stated DF within "&amp;IF(D29=0,"Actual","Adjusted")&amp;" Stated Overall Total Development Costs, after % Fee in 1.b.(1)"</f>
        <v>Stated DF within Actual Stated Overall Total Development Costs, after % Fee in 1.b.(1)</v>
      </c>
      <c r="C30" s="108"/>
      <c r="D30" s="172">
        <f>D26+D29</f>
        <v>0</v>
      </c>
      <c r="E30" s="103"/>
      <c r="F30" s="172">
        <f>F26+F29</f>
        <v>0</v>
      </c>
      <c r="G30" s="95" t="s">
        <v>283</v>
      </c>
      <c r="H30" s="208" t="str">
        <f>IF(OR(F$24&lt;1,F$29=0),"","( Initial stated DF "&amp;TEXT(F26,"$#,##0.00")&amp;", less 1st Adjustment of "&amp;TEXT(-F29,"$#,##0.00")&amp;" )")</f>
        <v/>
      </c>
      <c r="I30" s="103"/>
    </row>
    <row r="31" spans="2:13" x14ac:dyDescent="0.2">
      <c r="B31" s="110" t="s">
        <v>303</v>
      </c>
      <c r="C31" s="108"/>
      <c r="D31" s="171" t="str">
        <f>IF(D30&gt;D20,D20-D30,"NA  ")</f>
        <v xml:space="preserve">NA  </v>
      </c>
      <c r="E31" s="103"/>
      <c r="F31" s="171">
        <f>IF(F30&gt;F20,F20-F30,0)</f>
        <v>0</v>
      </c>
      <c r="G31" s="95" t="s">
        <v>283</v>
      </c>
      <c r="H31" s="95" t="str">
        <f>IF(F30&gt;F20,"( The stated % Fee limit of "&amp;TEXT(F30,"$#,##0.00")&amp;", less the Total Maximum Developer Fee of "&amp;TEXT(F20,"$#,##0.00")&amp;" )","")</f>
        <v/>
      </c>
      <c r="I31" s="103"/>
    </row>
    <row r="32" spans="2:13" x14ac:dyDescent="0.2">
      <c r="B32" s="89" t="s">
        <v>302</v>
      </c>
      <c r="C32" s="108"/>
      <c r="D32" s="170">
        <f>D30+N(D31)</f>
        <v>0</v>
      </c>
      <c r="E32" s="103"/>
      <c r="F32" s="170">
        <f>F30+N(F31)</f>
        <v>0</v>
      </c>
      <c r="G32" s="95" t="s">
        <v>283</v>
      </c>
      <c r="H32" s="95" t="str">
        <f>IF(N(F31)=0,"( The previously stated DF )","( The previously stated DF of "&amp;TEXT(F30,"$#,##0.00")&amp;", less the excess fee of "&amp;TEXT(-N(F31),"$#,##0.00")&amp;" )")</f>
        <v>( The previously stated DF )</v>
      </c>
      <c r="I32" s="103"/>
    </row>
    <row r="33" spans="2:11" x14ac:dyDescent="0.2">
      <c r="B33" s="89" t="s">
        <v>286</v>
      </c>
      <c r="C33" s="108"/>
      <c r="D33" s="111">
        <f>CUR!D33</f>
        <v>0</v>
      </c>
      <c r="E33" s="103"/>
      <c r="F33" s="205">
        <f>D52+F22-D49+F32</f>
        <v>0</v>
      </c>
      <c r="G33" s="95" t="s">
        <v>283</v>
      </c>
      <c r="H33" s="208" t="str">
        <f>IF(F$24&lt;1,"","( "&amp;IF(F29+F31=0,"Same as Initial FCCAP Net Stated TDC","Initial FCCAP Net Stated TDC ["&amp;TEXT(D52+F22-D49+F26,"$#,##0.00")&amp;"], less 1st Adjustment"&amp;IF(N(F31)&lt;0,"s","")&amp;" of "&amp;TEXT(-F29,"$#,##0.00"))&amp;IF(N(F31)&lt;0," and "&amp;TEXT(-N(F31),"$#,##0.00"),"")&amp;" )")</f>
        <v/>
      </c>
      <c r="I33" s="103"/>
    </row>
    <row r="34" spans="2:11" x14ac:dyDescent="0.2">
      <c r="B34" s="89" t="str">
        <f>IF(D29+F29=0,"Actual","Adjusted")&amp;" Stated Overall Total Development Costs, after 1.b.(1) or 1.c.(1), as applicable"</f>
        <v>Actual Stated Overall Total Development Costs, after 1.b.(1) or 1.c.(1), as applicable</v>
      </c>
      <c r="C34" s="108"/>
      <c r="D34" s="170">
        <f>CUR!D34</f>
        <v>0</v>
      </c>
      <c r="E34" s="103"/>
      <c r="F34" s="170">
        <f>D50+F22-D49+F32</f>
        <v>0</v>
      </c>
      <c r="G34" s="95" t="s">
        <v>283</v>
      </c>
      <c r="H34" s="95" t="str">
        <f>IF(OR($F$24&lt;1,F$29+F$31=0),"( Same as Initial FCCAP Stated Overall TDC )","( Initial FCCAP TDC of "&amp;TEXT(D50+F22-D49+F26,"$#,##0.00")&amp;", less 1st Adjustment"&amp;IF(N(F31)&lt;0,"s","")&amp;" of "&amp;TEXT(-F29,"$#,##0.00")&amp;IF(N(F31)&lt;0," and "&amp;TEXT(-N(F31),"$#,##0.00"),"")&amp;" )")</f>
        <v>( Same as Initial FCCAP Stated Overall TDC )</v>
      </c>
    </row>
    <row r="35" spans="2:11" x14ac:dyDescent="0.2">
      <c r="B35" s="89"/>
      <c r="C35" s="108"/>
      <c r="D35" s="170"/>
      <c r="E35" s="103"/>
      <c r="F35" s="111"/>
      <c r="G35" s="106"/>
      <c r="H35" s="95"/>
      <c r="K35" s="103"/>
    </row>
    <row r="36" spans="2:11" x14ac:dyDescent="0.2">
      <c r="B36" s="101" t="s">
        <v>250</v>
      </c>
      <c r="C36" s="108"/>
      <c r="D36" s="155" t="str">
        <f>IF(D21&gt;=D41,"Yes","No")</f>
        <v>Yes</v>
      </c>
      <c r="E36" s="103"/>
      <c r="F36" s="159" t="str">
        <f>IF(F21&gt;=F33,"Yes","No")</f>
        <v>Yes</v>
      </c>
      <c r="G36" s="106" t="str">
        <f>"Exhibit C.1.c.(1)("&amp;IF(F25="No",IF(F41&lt;=F21,"a","b"),IF(F41&lt;=D52,"c","d"))&amp;")"</f>
        <v>Exhibit C.1.c.(1)(a)</v>
      </c>
      <c r="H36" s="95" t="s">
        <v>254</v>
      </c>
    </row>
    <row r="37" spans="2:11" x14ac:dyDescent="0.2">
      <c r="B37" s="89" t="s">
        <v>294</v>
      </c>
      <c r="C37" s="108"/>
      <c r="D37" s="196"/>
      <c r="E37" s="103"/>
      <c r="F37" s="209" t="str">
        <f>IF(OR(F25="No",F36="Yes"),"NA",IF(F32&gt;D46,"Yes","No"))</f>
        <v>NA</v>
      </c>
      <c r="G37" s="204" t="s">
        <v>297</v>
      </c>
      <c r="H37" s="95" t="str">
        <f>IF(OR(F37="NA",F37="No"),"","( The previously stated DF of "&amp;TEXT(F32,"$#,##0.00")&amp;" exceeds the maximum DF at time of CUR of "&amp;TEXT(D46,"$#,##0.00")&amp;" )")</f>
        <v/>
      </c>
    </row>
    <row r="38" spans="2:11" x14ac:dyDescent="0.2">
      <c r="B38" s="89" t="s">
        <v>296</v>
      </c>
      <c r="C38" s="108"/>
      <c r="D38" s="196"/>
      <c r="E38" s="103"/>
      <c r="F38" s="210" t="str">
        <f>IF(F36="Yes","NA  ",IF(OR(F37="No",F37="NA"),"NA  ",IF(N(D46)&gt;0,IF(D46-F32&lt;0,D46-F32,0),"NA  ")))</f>
        <v xml:space="preserve">NA  </v>
      </c>
      <c r="G38" s="204" t="s">
        <v>297</v>
      </c>
      <c r="H38" s="208" t="str">
        <f>IF(F38="NA  ","","( The maximum DF at time of CUR of "&amp;TEXT(N(D46),"$#,##0.00")&amp;", less the previously stated FCAAP DF of "&amp;TEXT(F32,"$#,##0.00")&amp;" )")</f>
        <v/>
      </c>
    </row>
    <row r="39" spans="2:11" x14ac:dyDescent="0.2">
      <c r="B39" s="89" t="s">
        <v>295</v>
      </c>
      <c r="C39" s="108"/>
      <c r="D39" s="196"/>
      <c r="E39" s="103"/>
      <c r="F39" s="187">
        <f>F32+N(F38)</f>
        <v>0</v>
      </c>
      <c r="G39" s="204" t="str">
        <f>"Exhibit C.1.c.(1)("&amp;IF(F25="No",IF(F41&lt;=F21,"a","b"),IF(F41&lt;=D52,"c","d"))&amp;")"</f>
        <v>Exhibit C.1.c.(1)(a)</v>
      </c>
      <c r="H39" s="95" t="str">
        <f>IF(N(F38)=0,"( No change from previously stated DF amount )","( Previous DF of "&amp;TEXT(F32,"$#,##0.00")&amp;", less the 1.c.(1)(d) adjustment of "&amp;TEXT(-N(F38),"$#,##0.00")&amp;" )")</f>
        <v>( No change from previously stated DF amount )</v>
      </c>
    </row>
    <row r="40" spans="2:11" x14ac:dyDescent="0.2">
      <c r="B40" s="89" t="s">
        <v>284</v>
      </c>
      <c r="C40" s="108"/>
      <c r="D40" s="170">
        <f>D34</f>
        <v>0</v>
      </c>
      <c r="E40" s="103"/>
      <c r="F40" s="111">
        <f>F34+N(F38)</f>
        <v>0</v>
      </c>
      <c r="G40" s="204" t="str">
        <f>"Exhibit C.1.c.(1)("&amp;IF(F25="No",IF(F41&lt;=F21,"a","b"),IF(F41&lt;=D52,"c","d"))&amp;")"</f>
        <v>Exhibit C.1.c.(1)(a)</v>
      </c>
      <c r="H40" s="95" t="str">
        <f>IF(N(F38)=0,"( No change from previously stated Overall TDC amount )","( Previous overall TDC amount of "&amp;TEXT(F34,"$#,##0.00")&amp;", less the 1.c.(1)(d) adjustment of "&amp;TEXT(-N(F38),"$#,##0.00")&amp;" )")</f>
        <v>( No change from previously stated Overall TDC amount )</v>
      </c>
    </row>
    <row r="41" spans="2:11" x14ac:dyDescent="0.2">
      <c r="B41" s="101" t="s">
        <v>298</v>
      </c>
      <c r="C41" s="108"/>
      <c r="D41" s="154">
        <f>CUR!D41</f>
        <v>0</v>
      </c>
      <c r="E41" s="103"/>
      <c r="F41" s="203">
        <f>D52+F22-D49+F39</f>
        <v>0</v>
      </c>
      <c r="G41" s="204" t="str">
        <f>"Exhibit C.1.c.(1)("&amp;IF(F25="No",IF(F41&lt;=F21,"a","b"),IF(F41&lt;=D52,"c","d"))&amp;")"</f>
        <v>Exhibit C.1.c.(1)(a)</v>
      </c>
      <c r="H41" s="208" t="str">
        <f>IF(N(F41)=N(F33),"( No change from previously stated Net TDC amount )","( Previously stated Net TDC amount of "&amp;TEXT(N(F33),"$#,##0.00")&amp;", less the 1.c.(1)(d) adjustment of "&amp;TEXT(-N(F38),"$#,##0.00")&amp;" )")</f>
        <v>( No change from previously stated Net TDC amount )</v>
      </c>
    </row>
    <row r="42" spans="2:11" x14ac:dyDescent="0.2">
      <c r="B42" s="85" t="s">
        <v>279</v>
      </c>
      <c r="C42" s="108"/>
      <c r="D42" s="187" t="str">
        <f>IF(D$36="Yes","NA  ",IF(D41&gt;D21,(D41-D21),0))</f>
        <v xml:space="preserve">NA  </v>
      </c>
      <c r="E42" s="103"/>
      <c r="F42" s="187" t="str">
        <f>IF(F$36="Yes","NA  ",IF(F41&gt;F21,(F41-F21),0))</f>
        <v xml:space="preserve">NA  </v>
      </c>
      <c r="G42" s="95" t="s">
        <v>290</v>
      </c>
      <c r="H42" s="208" t="str">
        <f>IF(F$36="Yes","","( The previously stated Net TDC of "&amp;TEXT(F41,"$#,##0.00")&amp;", less the Development's Maximum TDC Component of "&amp;TEXT(F21,"$#,##0.00")&amp;" )")</f>
        <v/>
      </c>
      <c r="I42" s="103"/>
    </row>
    <row r="43" spans="2:11" x14ac:dyDescent="0.2">
      <c r="B43" s="89" t="s">
        <v>251</v>
      </c>
      <c r="C43" s="108"/>
      <c r="D43" s="188" t="str">
        <f>IF(D$36="Yes","NA  ",750000)</f>
        <v xml:space="preserve">NA  </v>
      </c>
      <c r="E43" s="103"/>
      <c r="F43" s="188" t="str">
        <f>IF(F$36="Yes","NA  ",350000)</f>
        <v xml:space="preserve">NA  </v>
      </c>
      <c r="G43" s="95" t="s">
        <v>291</v>
      </c>
      <c r="H43" s="95"/>
      <c r="I43" s="103"/>
    </row>
    <row r="44" spans="2:11" x14ac:dyDescent="0.2">
      <c r="B44" s="85" t="s">
        <v>212</v>
      </c>
      <c r="C44" s="108"/>
      <c r="D44" s="188" t="str">
        <f>IF(D$36="Yes","NA  ",ROUND(D20*0.25,I4))</f>
        <v xml:space="preserve">NA  </v>
      </c>
      <c r="E44" s="103"/>
      <c r="F44" s="188" t="str">
        <f>IF(F$36="Yes","NA  ",ROUND(F20*0.1,K4))</f>
        <v xml:space="preserve">NA  </v>
      </c>
      <c r="G44" s="95" t="s">
        <v>292</v>
      </c>
      <c r="H44" s="95" t="str">
        <f>IF(F$44="NA  ","","( Total Maximum Developer Fee of "&amp;TEXT(F20,"$#,##0.00")&amp;" x 10%, rounded to nearest "&amp;CHOOSE(I4+1,"dollar","dime","penny")&amp;" )")</f>
        <v/>
      </c>
      <c r="I44" s="103"/>
    </row>
    <row r="45" spans="2:11" x14ac:dyDescent="0.2">
      <c r="B45" s="110" t="s">
        <v>259</v>
      </c>
      <c r="C45" s="117"/>
      <c r="D45" s="171" t="str">
        <f>IF(D$36="Yes","NA  ",-IF(D41&gt;D21,(MIN(D42,D43,D44)),0))</f>
        <v xml:space="preserve">NA  </v>
      </c>
      <c r="E45" s="103"/>
      <c r="F45" s="171" t="str">
        <f>IF(F$36="Yes","NA  ",-IF(F41&gt;F21,(MIN(F42,F43,F44)),0))</f>
        <v xml:space="preserve">NA  </v>
      </c>
      <c r="G45" s="95" t="s">
        <v>293</v>
      </c>
      <c r="H45" s="95" t="str">
        <f>IF(F$45="NA  ","","( The lesser of "&amp;TEXT(MIN(N(F42),N(F43),N(F44)),"$#,##0.00")&amp;", "&amp;TEXT(IF(AND(N(F42)&lt;=N(F43),N(F43)&lt;=N(F44)),N(F43),IF(AND(N(F43)&lt;=N(F42),N(F42)&lt;=N(F44)),N(F42),IF(AND(N(F44)&lt;N(F42),N(F44)&lt;N(F43)),IF(N(F43)&lt;N(F42),N(F43),N(F42)),N(F44)))),"$#,##0.00")&amp;" or "&amp;TEXT(MAX(N(F42),N(F43),N(F44)),"$#,##0.00")&amp;" )")</f>
        <v/>
      </c>
      <c r="I45" s="103"/>
    </row>
    <row r="46" spans="2:11" x14ac:dyDescent="0.2">
      <c r="B46" s="85" t="s">
        <v>252</v>
      </c>
      <c r="C46" s="117"/>
      <c r="D46" s="173">
        <f>D20+N(D45)</f>
        <v>0</v>
      </c>
      <c r="E46" s="103"/>
      <c r="F46" s="173">
        <f>IF(F25="Yes",MIN(D46,F20,F28),MIN(F20,F28))+N(F45)</f>
        <v>0</v>
      </c>
      <c r="G46" s="95" t="s">
        <v>293</v>
      </c>
      <c r="H46" s="95" t="str">
        <f>IF(F25="Yes","( The Maximum DF at time of CUR of "&amp;TEXT(D46,"$#,##0.00")&amp;IF(F45&lt;0,", less the adjustment amount of "&amp;TEXT(-N(F45),"$#,##0.00")," unadjusted")&amp;" )",IF(F46=F32,"","( The Maximum FCCAP Total Developer Fee of "&amp;TEXT(MIN(F20,F28),"$#,##).00")&amp;", less the adjustment amount of "&amp;TEXT(-N(F45),"$#,##0.00")&amp;" )"))</f>
        <v/>
      </c>
      <c r="I46" s="103"/>
    </row>
    <row r="47" spans="2:11" x14ac:dyDescent="0.2">
      <c r="B47" s="85" t="s">
        <v>304</v>
      </c>
      <c r="C47" s="117"/>
      <c r="D47" s="174" t="str">
        <f>IF(D46&gt;=D32,"Yes","No")</f>
        <v>Yes</v>
      </c>
      <c r="E47" s="103"/>
      <c r="F47" s="174" t="str">
        <f>IF(F46&gt;=F39,"Yes","No")</f>
        <v>Yes</v>
      </c>
      <c r="H47" s="95" t="s">
        <v>254</v>
      </c>
      <c r="I47" s="103"/>
    </row>
    <row r="48" spans="2:11" x14ac:dyDescent="0.2">
      <c r="B48" s="110" t="s">
        <v>255</v>
      </c>
      <c r="C48" s="117"/>
      <c r="D48" s="189" t="str">
        <f>IF(D$47="Yes","NA  ",IF(D46-D32&lt;0,D46-D32,0))</f>
        <v xml:space="preserve">NA  </v>
      </c>
      <c r="E48" s="103"/>
      <c r="F48" s="189" t="str">
        <f>IF(F$47="Yes","NA  ",IF(F46-F39&lt;0,F46-F39,0))</f>
        <v xml:space="preserve">NA  </v>
      </c>
      <c r="G48" s="106"/>
      <c r="H48" s="106" t="str">
        <f>IF(N(F48)=0,"","( The previously stated DF of "&amp;TEXT(N(F39),"$#,##0.00")&amp;", less the Maximum Developer Fee of "&amp;TEXT(N(F46),"$#,##0.00")&amp;" )")</f>
        <v/>
      </c>
      <c r="I48" s="103"/>
    </row>
    <row r="49" spans="2:9" x14ac:dyDescent="0.2">
      <c r="B49" s="89" t="s">
        <v>256</v>
      </c>
      <c r="C49" s="117"/>
      <c r="D49" s="173">
        <f>D32+N(D48)</f>
        <v>0</v>
      </c>
      <c r="E49" s="103"/>
      <c r="F49" s="173">
        <f>F39+N(F48)</f>
        <v>0</v>
      </c>
      <c r="G49" s="106"/>
      <c r="H49" s="95" t="str">
        <f>IF(N(F48)=0,"","( The previously stated DF of "&amp;TEXT(N(F39),"$#,##0.00")&amp;", less the adjustment amount of "&amp;TEXT(-N(F48),"$#,##0.00")&amp;" )")</f>
        <v/>
      </c>
      <c r="I49" s="103"/>
    </row>
    <row r="50" spans="2:9" x14ac:dyDescent="0.2">
      <c r="B50" s="89" t="s">
        <v>257</v>
      </c>
      <c r="C50" s="117"/>
      <c r="D50" s="173">
        <f>D40+N(D48)</f>
        <v>0</v>
      </c>
      <c r="E50" s="103"/>
      <c r="F50" s="173">
        <f>F40+N(F48)</f>
        <v>0</v>
      </c>
      <c r="G50" s="95"/>
      <c r="H50" s="95" t="str">
        <f>IF(N(F48)=0,"","( The previously stated stated overall TDC of "&amp;TEXT(N(F40),"$#,##0.00")&amp;", less the adjustment amount of "&amp;TEXT(-N(F48),"$#,##0.00")&amp;" )")</f>
        <v/>
      </c>
      <c r="I50" s="103"/>
    </row>
    <row r="51" spans="2:9" x14ac:dyDescent="0.2">
      <c r="B51" s="85"/>
      <c r="C51" s="117"/>
      <c r="D51" s="173"/>
      <c r="E51" s="103"/>
      <c r="F51" s="111"/>
      <c r="G51" s="95"/>
      <c r="H51" s="95"/>
      <c r="I51" s="103"/>
    </row>
    <row r="52" spans="2:9" ht="13.5" thickBot="1" x14ac:dyDescent="0.25">
      <c r="B52" s="89" t="s">
        <v>276</v>
      </c>
      <c r="C52" s="156"/>
      <c r="D52" s="175">
        <f>D41+N(D48)</f>
        <v>0</v>
      </c>
      <c r="E52" s="140"/>
      <c r="F52" s="175">
        <f>F41+N(F48)</f>
        <v>0</v>
      </c>
      <c r="G52" s="141"/>
      <c r="H52" s="141"/>
      <c r="I52" s="103"/>
    </row>
    <row r="53" spans="2:9" x14ac:dyDescent="0.2">
      <c r="H53" s="103"/>
    </row>
    <row r="54" spans="2:9" x14ac:dyDescent="0.2">
      <c r="H54" s="118"/>
    </row>
    <row r="55" spans="2:9" ht="15" x14ac:dyDescent="0.2">
      <c r="B55" s="124" t="s">
        <v>215</v>
      </c>
      <c r="C55" s="125"/>
      <c r="D55" s="126">
        <f>D49</f>
        <v>0</v>
      </c>
      <c r="F55" s="126">
        <f>F49</f>
        <v>0</v>
      </c>
      <c r="H55" s="118"/>
    </row>
    <row r="56" spans="2:9" ht="15" x14ac:dyDescent="0.2">
      <c r="B56" s="124" t="s">
        <v>142</v>
      </c>
      <c r="C56" s="125"/>
      <c r="D56" s="126">
        <f>D50</f>
        <v>0</v>
      </c>
      <c r="F56" s="126">
        <f>F50</f>
        <v>0</v>
      </c>
      <c r="H56" s="118"/>
    </row>
    <row r="57" spans="2:9" x14ac:dyDescent="0.2">
      <c r="D57" s="103"/>
      <c r="H57" s="118"/>
    </row>
    <row r="58" spans="2:9" x14ac:dyDescent="0.2">
      <c r="H58" s="103"/>
    </row>
    <row r="59" spans="2:9" x14ac:dyDescent="0.2">
      <c r="B59" s="110" t="s">
        <v>123</v>
      </c>
      <c r="D59" s="138">
        <f>IFERROR(IF(D56=0,0,D29+N(D48)),0)</f>
        <v>0</v>
      </c>
      <c r="F59" s="138">
        <f>F29+N(F48)</f>
        <v>0</v>
      </c>
      <c r="G59" s="142"/>
      <c r="H59" s="103"/>
    </row>
    <row r="60" spans="2:9" x14ac:dyDescent="0.2">
      <c r="B60" s="137" t="s">
        <v>124</v>
      </c>
      <c r="C60" s="114"/>
      <c r="D60" s="176">
        <f>IF(D59=0,0,D59/D26)</f>
        <v>0</v>
      </c>
      <c r="E60" s="103"/>
      <c r="F60" s="176">
        <f>IF(F59=0,0,F59/F26)</f>
        <v>0</v>
      </c>
      <c r="H60" s="103"/>
    </row>
    <row r="61" spans="2:9" x14ac:dyDescent="0.2">
      <c r="B61" s="90" t="s">
        <v>232</v>
      </c>
      <c r="D61" s="139" t="e">
        <f>D55/D56</f>
        <v>#DIV/0!</v>
      </c>
      <c r="E61" s="103"/>
      <c r="F61" s="139" t="e">
        <f>F55/F56</f>
        <v>#DIV/0!</v>
      </c>
      <c r="H61" s="118"/>
    </row>
    <row r="62" spans="2:9" x14ac:dyDescent="0.2">
      <c r="B62" s="90" t="s">
        <v>125</v>
      </c>
      <c r="D62" s="139">
        <f>IF(D24=0,0,D55/D24)</f>
        <v>0</v>
      </c>
      <c r="F62" s="139">
        <f>IF(F24=0,0,F55/F24)</f>
        <v>0</v>
      </c>
      <c r="H62" s="95"/>
      <c r="I62" s="103"/>
    </row>
    <row r="63" spans="2:9" x14ac:dyDescent="0.2">
      <c r="G63" s="118"/>
      <c r="H63" s="95"/>
      <c r="I63" s="103"/>
    </row>
    <row r="64" spans="2:9" hidden="1" outlineLevel="1" x14ac:dyDescent="0.2">
      <c r="B64" s="89" t="str">
        <f>IF(D9=21%,"The maximum non-ODR DF (on Non-Acquisition Costs) portion of the 21% DF above that IS subject to DF adjustments","")</f>
        <v/>
      </c>
      <c r="C64" s="89"/>
      <c r="D64" s="111" t="str">
        <f>IFERROR(IF(D9=21%,ROUNDDOWN((D12*(D9-0.05)),0),""),"")</f>
        <v/>
      </c>
      <c r="E64" s="103"/>
      <c r="F64" s="111" t="str">
        <f>IFERROR(IF(D9=21%,ROUNDDOWN((D12*(D9-0.05)),0),""),"")</f>
        <v/>
      </c>
      <c r="G64" s="146"/>
      <c r="H64" s="103"/>
      <c r="I64" s="103"/>
    </row>
    <row r="65" spans="1:9" hidden="1" outlineLevel="1" x14ac:dyDescent="0.2">
      <c r="B65" s="89" t="str">
        <f>IF(D9=21%,"The maximum non-ODR DF (on Building Acquisition Costs) portion of the 21% DF above that IS subject to DF adjustments","")</f>
        <v/>
      </c>
      <c r="C65" s="89"/>
      <c r="D65" s="111" t="str">
        <f>IFERROR(IF(D9=21%,ROUNDDOWN((D17*(D9-0.05)),0),""),"")</f>
        <v/>
      </c>
      <c r="E65" s="103"/>
      <c r="F65" s="111" t="str">
        <f>IFERROR(IF(D9=21%,ROUNDDOWN((D17*(D9-0.05)),0),""),"")</f>
        <v/>
      </c>
      <c r="G65" s="147"/>
      <c r="H65" s="103"/>
      <c r="I65" s="103"/>
    </row>
    <row r="66" spans="1:9" hidden="1" outlineLevel="1" x14ac:dyDescent="0.2">
      <c r="B66" s="101" t="str">
        <f>IF(D9=21%,"Total maximum non-ODR DF portion of the 21% DF above that IS subject to DF adjustments","")</f>
        <v/>
      </c>
      <c r="C66" s="101"/>
      <c r="D66" s="102" t="str">
        <f>IF(D64="","",D64+D65)</f>
        <v/>
      </c>
      <c r="E66" s="103"/>
      <c r="F66" s="102" t="str">
        <f>IF(F64="","",F64+F65)</f>
        <v/>
      </c>
      <c r="G66" s="148"/>
      <c r="H66" s="103"/>
      <c r="I66" s="103"/>
    </row>
    <row r="67" spans="1:9" hidden="1" outlineLevel="1" x14ac:dyDescent="0.2">
      <c r="B67" s="110" t="str">
        <f>IF(D9=21%,"Total Adjustments","")</f>
        <v/>
      </c>
      <c r="C67" s="101"/>
      <c r="D67" s="171" t="str">
        <f>IF(D64="","",IFERROR(N(D45),""))</f>
        <v/>
      </c>
      <c r="E67" s="103"/>
      <c r="F67" s="171" t="str">
        <f>IF(F64="","",IFERROR(N(F45),""))</f>
        <v/>
      </c>
      <c r="G67" s="149"/>
      <c r="H67" s="103"/>
      <c r="I67" s="103"/>
    </row>
    <row r="68" spans="1:9" hidden="1" outlineLevel="1" x14ac:dyDescent="0.2">
      <c r="B68" s="101" t="str">
        <f>IF(D9=21%,"Total maximum non-ODR DF portion of the 21% DF above after adjustments","")</f>
        <v/>
      </c>
      <c r="C68" s="101"/>
      <c r="D68" s="112" t="str">
        <f>IFERROR(D66+D67,"")</f>
        <v/>
      </c>
      <c r="E68" s="103"/>
      <c r="F68" s="112" t="str">
        <f>IFERROR(F66+F67,"")</f>
        <v/>
      </c>
      <c r="G68" s="148"/>
      <c r="H68" s="103"/>
      <c r="I68" s="103"/>
    </row>
    <row r="69" spans="1:9" hidden="1" outlineLevel="1" x14ac:dyDescent="0.2">
      <c r="B69" s="89" t="str">
        <f>IF(D9=21%,"The maximum ODR DF (on Non-Acquisition Costs) portion of the 21% DF above that is NOT subject to any DF adjustments","")</f>
        <v/>
      </c>
      <c r="C69" s="89"/>
      <c r="D69" s="111" t="str">
        <f>IF(D9=21%,ROUNDDOWN((D12*I5),0),"")</f>
        <v/>
      </c>
      <c r="E69" s="103"/>
      <c r="F69" s="111" t="str">
        <f>IF(D9=21%,ROUNDDOWN((D12*I5),0),"")</f>
        <v/>
      </c>
      <c r="G69" s="103"/>
      <c r="H69" s="103"/>
      <c r="I69" s="103"/>
    </row>
    <row r="70" spans="1:9" hidden="1" outlineLevel="1" x14ac:dyDescent="0.2">
      <c r="B70" s="89" t="str">
        <f>IF(D9=21%,"The maximum ODR DF (on Building Acquisition Costs) portion of the 21% DF above that is NOT subject to any DF adjustments","")</f>
        <v/>
      </c>
      <c r="C70" s="89"/>
      <c r="D70" s="111" t="str">
        <f>IF(D9=21%,ROUNDDOWN((D17*I5),0),"")</f>
        <v/>
      </c>
      <c r="E70" s="103"/>
      <c r="F70" s="111" t="str">
        <f>IF(D9=21%,ROUNDDOWN((D17*I5),0),"")</f>
        <v/>
      </c>
      <c r="G70" s="147"/>
      <c r="H70" s="103"/>
      <c r="I70" s="103"/>
    </row>
    <row r="71" spans="1:9" hidden="1" outlineLevel="1" x14ac:dyDescent="0.2">
      <c r="B71" s="113" t="str">
        <f>IF(D9=21%,"Total maximum ODR DF portion of the 21% DF above that is NOT subject to any DF adjustments","")</f>
        <v/>
      </c>
      <c r="C71" s="114"/>
      <c r="D71" s="115" t="str">
        <f>IF(D69="","",D69+D70)</f>
        <v/>
      </c>
      <c r="E71" s="103"/>
      <c r="F71" s="115" t="str">
        <f>IF(F69="","",F69+F70)</f>
        <v/>
      </c>
      <c r="G71" s="150"/>
      <c r="H71" s="103"/>
    </row>
    <row r="72" spans="1:9" hidden="1" outlineLevel="1" x14ac:dyDescent="0.2">
      <c r="B72" s="113"/>
      <c r="C72" s="114"/>
      <c r="D72" s="116"/>
      <c r="E72" s="103"/>
      <c r="F72" s="103"/>
      <c r="G72" s="150"/>
      <c r="H72" s="103"/>
    </row>
    <row r="73" spans="1:9" hidden="1" outlineLevel="1" x14ac:dyDescent="0.2">
      <c r="B73" s="119" t="s">
        <v>443</v>
      </c>
      <c r="C73" s="120"/>
    </row>
    <row r="74" spans="1:9" hidden="1" outlineLevel="1" x14ac:dyDescent="0.2">
      <c r="C74" s="120"/>
    </row>
    <row r="75" spans="1:9" hidden="1" outlineLevel="1" x14ac:dyDescent="0.2"/>
    <row r="76" spans="1:9" hidden="1" outlineLevel="1" x14ac:dyDescent="0.2">
      <c r="A76" s="82" t="s">
        <v>82</v>
      </c>
      <c r="B76" s="121">
        <v>0.1</v>
      </c>
      <c r="D76" s="103"/>
    </row>
    <row r="77" spans="1:9" hidden="1" outlineLevel="1" x14ac:dyDescent="0.2">
      <c r="A77" s="82" t="s">
        <v>83</v>
      </c>
      <c r="B77" s="122">
        <v>0.16</v>
      </c>
      <c r="D77" s="103"/>
    </row>
    <row r="78" spans="1:9" hidden="1" outlineLevel="1" x14ac:dyDescent="0.2">
      <c r="B78" s="122">
        <v>0.18</v>
      </c>
      <c r="D78" s="103"/>
    </row>
    <row r="79" spans="1:9" hidden="1" outlineLevel="1" x14ac:dyDescent="0.2">
      <c r="B79" s="123">
        <v>0.21</v>
      </c>
      <c r="D79" s="103"/>
    </row>
    <row r="80" spans="1:9" ht="13.15" hidden="1" customHeight="1" outlineLevel="1" x14ac:dyDescent="0.2">
      <c r="D80" s="103"/>
    </row>
    <row r="81" spans="2:11" ht="12.95" customHeight="1" collapsed="1" x14ac:dyDescent="0.2">
      <c r="D81" s="103"/>
      <c r="K81" s="307"/>
    </row>
    <row r="82" spans="2:11" ht="12.95" customHeight="1" x14ac:dyDescent="0.2">
      <c r="B82" s="245" t="str">
        <f>IF(AND(SUMIF(RFA!B$51:B$57,"=Rehab",RFA!C$51:C$57)&gt;0,IFERROR(VALUE(LEFT(VLOOKUP(1,Identify,3),4)),0)&gt;=2026,OR(AND(RFA!$D$36="Tax-Exempt Bonds Boost",RFA!$C$36&gt;0),AND(RFA!$D$37="Tax-Exempt Bonds Boost",RFA!$C$37&gt;0))),"Verifying whether the 36%, 18%, 9% Developer Fee sublimits are more restrictive than the 18% maximum based on TDC PU Limits:","")</f>
        <v/>
      </c>
      <c r="G82" s="354" t="s">
        <v>432</v>
      </c>
      <c r="H82" s="354"/>
      <c r="I82" s="354"/>
      <c r="J82" s="354"/>
      <c r="K82" s="356" t="s">
        <v>452</v>
      </c>
    </row>
    <row r="83" spans="2:11" x14ac:dyDescent="0.2">
      <c r="B83" s="265" t="str">
        <f>IF(AND(SUMIF(RFA!B$51:B$57,"=Rehab",RFA!C$51:C$57)&gt;0,IFERROR(VALUE(LEFT(VLOOKUP(1,Identify,3),4)),0)&gt;=2026,OR(AND(RFA!$D$36="Tax-Exempt Bonds Boost",RFA!$C$36&gt;0),AND(RFA!$D$37="Tax-Exempt Bonds Boost",RFA!$C$37&gt;0))),"Total of Developer Fee calculations on Non-Acquistion Costs from CUR tab:","")</f>
        <v/>
      </c>
      <c r="D83" s="111" t="str">
        <f>IF(AND(SUMIF(RFA!B$51:B$57,"=Rehab",RFA!C$51:C$57)&gt;0,IFERROR(VALUE(LEFT(VLOOKUP(1,Identify,3),4)),0)&gt;=2026,OR(AND(RFA!$D$36="Tax-Exempt Bonds Boost",RFA!$C$36&gt;0),AND(RFA!$D$37="Tax-Exempt Bonds Boost",RFA!$C$37&gt;0))),CUR!D122,"")</f>
        <v/>
      </c>
      <c r="G83" s="355"/>
      <c r="H83" s="355"/>
      <c r="I83" s="355"/>
      <c r="J83" s="355"/>
      <c r="K83" s="357"/>
    </row>
    <row r="84" spans="2:11" ht="12.75" customHeight="1" x14ac:dyDescent="0.2">
      <c r="B84" s="266" t="str">
        <f>IF(AND(SUMIF(RFA!B$51:B$57,"=Rehab",RFA!C$51:C$57)&gt;0,IFERROR(VALUE(LEFT(VLOOKUP(1,Identify,3),4)),0)&gt;=2026,OR(AND(RFA!$D$36="Tax-Exempt Bonds Boost",RFA!$C$36&gt;0),AND(RFA!$D$37="Tax-Exempt Bonds Boost",RFA!$C$37&gt;0))),"36% Sublimit on any change in AR Hard Costs: (Based on entries above)","")</f>
        <v/>
      </c>
      <c r="C84" s="276"/>
      <c r="D84" s="267" t="str">
        <f>IF(AND(SUMIF(RFA!B$51:B$57,"=Rehab",RFA!C$51:C$57)&gt;0,IFERROR(VALUE(LEFT(VLOOKUP(1,Identify,3),4)),0)&gt;=2026,OR(AND(RFA!$D$36="Tax-Exempt Bonds Boost",RFA!$C$36&gt;0),AND(RFA!$D$37="Tax-Exempt Bonds Boost",RFA!$C$37&gt;0))),36%*F22,"")</f>
        <v/>
      </c>
      <c r="G84" s="309" t="s">
        <v>240</v>
      </c>
      <c r="H84" s="305" t="s">
        <v>241</v>
      </c>
      <c r="I84" s="305" t="s">
        <v>242</v>
      </c>
      <c r="J84" s="306" t="s">
        <v>243</v>
      </c>
      <c r="K84" s="308" t="s">
        <v>451</v>
      </c>
    </row>
    <row r="85" spans="2:11" x14ac:dyDescent="0.2">
      <c r="B85" s="266" t="str">
        <f>IF(AND(SUMIF(RFA!B$51:B$57,"=Rehab",RFA!C$51:C$57)&gt;0,IFERROR(VALUE(LEFT(VLOOKUP(1,Identify,3),4)),0)&gt;=2026,OR(AND(RFA!$D$36="Tax-Exempt Bonds Boost",RFA!$C$36&gt;0),AND(RFA!$D$37="Tax-Exempt Bonds Boost",RFA!$C$37&gt;0))),"18% Sublimit on any change in AR Soft Costs and NC Hard Costs: (Based on entries above)","")</f>
        <v/>
      </c>
      <c r="C85" s="276"/>
      <c r="D85" s="267" t="str">
        <f>IF(AND(SUMIF(RFA!B$51:B$57,"=Rehab",RFA!C$51:C$57)&gt;0,IFERROR(VALUE(LEFT(VLOOKUP(1,Identify,3),4)),0)&gt;=2026,OR(AND(RFA!$D$36="Tax-Exempt Bonds Boost",RFA!$C$36&gt;0),AND(RFA!$D$37="Tax-Exempt Bonds Boost",RFA!$C$37&gt;0))),18%*F23,"")</f>
        <v/>
      </c>
      <c r="G85" s="310" t="s">
        <v>444</v>
      </c>
      <c r="H85" s="257">
        <v>0</v>
      </c>
      <c r="I85" s="257">
        <v>0</v>
      </c>
      <c r="J85" s="299">
        <f>I85</f>
        <v>0</v>
      </c>
      <c r="K85" s="314">
        <f>IF(AND(SUMIF(RFA!$B$51:$B$57,"=Rehab",RFA!$C$51:$C$57)&gt;0,IFERROR(VALUE(LEFT(VLOOKUP(1,Identify,3),4)),0)&gt;=2026,OR(AND(RFA!$D$36="Tax-Exempt Bonds Boost",RFA!$C$36&gt;0),AND(RFA!$D$37="Tax-Exempt Bonds Boost",RFA!$C$37&gt;0))),RFA!J$58*RFA!C$58-SUM(CUR!D63:D66)-CUR!D$67*CUR!D$68+D84+D85,0)</f>
        <v>0</v>
      </c>
    </row>
    <row r="86" spans="2:11" x14ac:dyDescent="0.2">
      <c r="B86" s="265" t="str">
        <f>IF(AND(SUMIF(RFA!B$51:B$57,"=Rehab",RFA!C$51:C$57)&gt;0,IFERROR(VALUE(LEFT(VLOOKUP(1,Identify,3),4)),0)&gt;=2026,OR(AND(RFA!$D$36="Tax-Exempt Bonds Boost",RFA!$C$36&gt;0),AND(RFA!$D$37="Tax-Exempt Bonds Boost",RFA!$C$37&gt;0))),"Total of Developer Fee calculations on Non-Acquistion Costs:","")</f>
        <v/>
      </c>
      <c r="D86" s="111" t="str">
        <f>IF(AND(SUMIF(RFA!B$51:B$57,"=Rehab",RFA!C$51:C$57)&gt;0,IFERROR(VALUE(LEFT(VLOOKUP(1,Identify,3),4)),0)&gt;=2026,OR(AND(RFA!$D$36="Tax-Exempt Bonds Boost",RFA!$C$36&gt;0),AND(RFA!$D$37="Tax-Exempt Bonds Boost",RFA!$C$37&gt;0))),SUM(D83:D85),"")</f>
        <v/>
      </c>
      <c r="G86" s="310" t="s">
        <v>446</v>
      </c>
      <c r="H86" s="257">
        <v>0</v>
      </c>
      <c r="I86" s="257">
        <v>0</v>
      </c>
      <c r="J86" s="300">
        <f>I86</f>
        <v>0</v>
      </c>
      <c r="K86" s="314">
        <f>IF(AND(SUMIF(RFA!$B$51:$B$57,"=Rehab",RFA!$C$51:$C$57)&gt;0,IFERROR(VALUE(LEFT(VLOOKUP(1,Identify,3),4)),0)&gt;=2026,OR(AND(RFA!$D$36="Tax-Exempt Bonds Boost",RFA!$C$36&gt;0),AND(RFA!$D$37="Tax-Exempt Bonds Boost",RFA!$C$37&gt;0))),SUMIF(RFA!$B$51:$B$57,"=NC",RFA!$C$51:$C$57)*RFA!$L$58+SUMIF(RFA!$B$51:$B$57,"=Rehab",RFA!$C$51:$C$57)*RFA!$L$59-CUR!$D$64+D85,0)</f>
        <v>0</v>
      </c>
    </row>
    <row r="87" spans="2:11" x14ac:dyDescent="0.2">
      <c r="B87" s="270" t="str">
        <f>IF(AND(SUMIF(RFA!B$51:B$57,"=Rehab",RFA!C$51:C$57)&gt;0,IFERROR(VALUE(LEFT(VLOOKUP(1,Identify,3),4)),0)&gt;=2026,OR(AND(RFA!$D$36="Tax-Exempt Bonds Boost",RFA!$C$36&gt;0),AND(RFA!$D$37="Tax-Exempt Bonds Boost",RFA!$C$37&gt;0))),"Total Developer Fee on Non-Acquisition Costs, rounded down to the nearest dollar:","")</f>
        <v/>
      </c>
      <c r="D87" s="102" t="str">
        <f>IF(AND(SUMIF(RFA!B$51:B$57,"=Rehab",RFA!C$51:C$57)&gt;0,IFERROR(VALUE(LEFT(VLOOKUP(1,Identify,3),4)),0)&gt;=2026,OR(AND(RFA!$D$36="Tax-Exempt Bonds Boost",RFA!$C$36&gt;0),AND(RFA!$D$37="Tax-Exempt Bonds Boost",RFA!$C$37&gt;0))),ROUNDDOWN(D86,0),"")</f>
        <v/>
      </c>
      <c r="G87" s="311" t="s">
        <v>445</v>
      </c>
      <c r="H87" s="253">
        <f>ROUNDDOWN(IF(AND(SUMIF(RFA!$B$51:$B$57,"=Rehab",RFA!$C$51:$C$57)&gt;0,IFERROR(VALUE(LEFT(VLOOKUP(1,Identify,3),4)),0)&gt;=2026,OR(AND(RFA!$D$36="Tax-Exempt Bonds Boost",RFA!$C$36&gt;0),AND(RFA!$D$37="Tax-Exempt Bonds Boost",RFA!$C$37&gt;0))),IF(18%*H85&lt;(H85-H86)*36%+H86*18%-(CUR!$D$60+CUR!$D$61)*9%,18%*H85,(H85-H86)*36%+H86*18%),$D$9*H85),0)</f>
        <v>0</v>
      </c>
      <c r="I87" s="253">
        <f>ROUNDDOWN(IF(AND(SUMIF(RFA!$B$51:$B$57,"=Rehab",RFA!$C$51:$C$57)&gt;0,IFERROR(VALUE(LEFT(VLOOKUP(1,Identify,3),4)),0)&gt;=2026,OR(AND(RFA!$D$36="Tax-Exempt Bonds Boost",RFA!$C$36&gt;0),AND(RFA!$D$37="Tax-Exempt Bonds Boost",RFA!$C$37&gt;0))),IF(18%*I85&lt;(I85-I86)*36%+I86*18%-(CUR!$D$60+CUR!$D$61)*9%,18%*I85,(I85-I86)*36%+I86*18%),$D$9*I85),0)</f>
        <v>0</v>
      </c>
      <c r="J87" s="301">
        <f>IFERROR(ROUNDDOWN(H87/H92*I92,0),0)</f>
        <v>0</v>
      </c>
      <c r="K87" s="314">
        <f>N(CUR!$D$128)</f>
        <v>0</v>
      </c>
    </row>
    <row r="88" spans="2:11" x14ac:dyDescent="0.2">
      <c r="B88" s="268" t="str">
        <f>IF(AND(SUMIF(RFA!B$51:B$57,"=Rehab",RFA!C$51:C$57)&gt;0,IFERROR(VALUE(LEFT(VLOOKUP(1,Identify,3),4)),0)&gt;=2026,OR(AND(RFA!$D$36="Tax-Exempt Bonds Boost",RFA!$C$36&gt;0),AND(RFA!$D$37="Tax-Exempt Bonds Boost",RFA!$C$37&gt;0))),"9% Sublimit on Building Allocation Acquisition Costs for Rehab: (Based on entries above)","")</f>
        <v/>
      </c>
      <c r="C88" s="276"/>
      <c r="D88" s="277" t="str">
        <f>IF(AND(SUMIF(RFA!B$51:B$57,"=Rehab",RFA!C$51:C$57)&gt;0,IFERROR(VALUE(LEFT(VLOOKUP(1,Identify,3),4)),0)&gt;=2026,OR(AND(RFA!$D$36="Tax-Exempt Bonds Boost",RFA!$C$36&gt;0),AND(RFA!$D$37="Tax-Exempt Bonds Boost",RFA!$C$37&gt;0))),F19,"")</f>
        <v/>
      </c>
      <c r="G88" s="311" t="s">
        <v>447</v>
      </c>
      <c r="H88" s="258">
        <v>0</v>
      </c>
      <c r="I88" s="253">
        <f>IFERROR(H88,0)</f>
        <v>0</v>
      </c>
      <c r="J88" s="301">
        <f>IFERROR(I88,0)</f>
        <v>0</v>
      </c>
      <c r="K88" s="314">
        <f>N(Max_Acq_DF_Bond_w_AR_Units)</f>
        <v>0</v>
      </c>
    </row>
    <row r="89" spans="2:11" ht="15" customHeight="1" x14ac:dyDescent="0.2">
      <c r="B89" s="270" t="str">
        <f>IF(AND(SUMIF(RFA!B$51:B$57,"=Rehab",RFA!C$51:C$57)&gt;0,IFERROR(VALUE(LEFT(VLOOKUP(1,Identify,3),4)),0)&gt;=2026,OR(AND(RFA!$D$36="Tax-Exempt Bonds Boost",RFA!$C$36&gt;0),AND(RFA!$D$37="Tax-Exempt Bonds Boost",RFA!$C$37&gt;0))),"Total of Sublimits:","")</f>
        <v/>
      </c>
      <c r="C89" s="134"/>
      <c r="D89" s="278" t="str">
        <f>IF(AND(SUMIF(RFA!B$51:B$57,"=Rehab",RFA!C$51:C$57)&gt;0,IFERROR(VALUE(LEFT(VLOOKUP(1,Identify,3),4)),0)&gt;=2026,OR(AND(RFA!$D$36="Tax-Exempt Bonds Boost",RFA!$C$36&gt;0),AND(RFA!$D$37="Tax-Exempt Bonds Boost",RFA!$C$37&gt;0))),SUM(D87:D88),"")</f>
        <v/>
      </c>
      <c r="G89" s="311" t="s">
        <v>448</v>
      </c>
      <c r="H89" s="253">
        <f>H87+H88</f>
        <v>0</v>
      </c>
      <c r="I89" s="253">
        <f>I87+I88</f>
        <v>0</v>
      </c>
      <c r="J89" s="301">
        <f>IFERROR(J87+J88,0)</f>
        <v>0</v>
      </c>
      <c r="K89" s="314">
        <f>K87+K88</f>
        <v>0</v>
      </c>
    </row>
    <row r="90" spans="2:11" ht="15" customHeight="1" thickBot="1" x14ac:dyDescent="0.25">
      <c r="B90" s="265" t="str">
        <f>IF(AND(SUMIF(RFA!B$51:B$57,"=Rehab",RFA!C$51:C$57)&gt;0,IFERROR(VALUE(LEFT(VLOOKUP(1,Identify,3),4)),0)&gt;=2026,OR(AND(RFA!$D$36="Tax-Exempt Bonds Boost",RFA!$C$36&gt;0),AND(RFA!$D$37="Tax-Exempt Bonds Boost",RFA!$C$37&gt;0))),"18% Maximum Limit:","")</f>
        <v/>
      </c>
      <c r="D90" s="111" t="str">
        <f>IF(AND(SUMIF(RFA!B$51:B$57,"=Rehab",RFA!C$51:C$57)&gt;0,IFERROR(VALUE(LEFT(VLOOKUP(1,Identify,3),4)),0)&gt;=2026,OR(AND(RFA!$D$36="Tax-Exempt Bonds Boost",RFA!$C$36&gt;0),AND(RFA!$D$37="Tax-Exempt Bonds Boost",RFA!$C$37&gt;0))),ROUNDDOWN(18%*(RFA!J58*RFA!C58-(SUM(CUR!D60:D61)+SUM(CUR!D63:D66)+IF(CUR!D68=1,CUR!D67,0))+0*(F22+F23)),0),"")</f>
        <v/>
      </c>
      <c r="G90" s="311" t="s">
        <v>449</v>
      </c>
      <c r="H90" s="302">
        <f>H89-IF($D$9=21%,H91,0)</f>
        <v>0</v>
      </c>
      <c r="I90" s="302">
        <f>I89-IF($D$9=21%,I91,0)</f>
        <v>0</v>
      </c>
      <c r="J90" s="301">
        <f>IFERROR(J89-J91,0)</f>
        <v>0</v>
      </c>
      <c r="K90" s="314">
        <f>K89</f>
        <v>0</v>
      </c>
    </row>
    <row r="91" spans="2:11" ht="20.100000000000001" customHeight="1" thickTop="1" x14ac:dyDescent="0.2">
      <c r="B91" s="271" t="str">
        <f>IF(AND(SUMIF(RFA!B$51:B$57,"=Rehab",RFA!C$51:C$57)&gt;0,IFERROR(VALUE(LEFT(VLOOKUP(1,Identify,3),4)),0)&gt;=2026,OR(AND(RFA!$D$36="Tax-Exempt Bonds Boost",RFA!$C$36&gt;0),AND(RFA!$D$37="Tax-Exempt Bonds Boost",RFA!$C$37&gt;0))),"Lesser of Total of Sublimits or 18% Maximum Limt","")</f>
        <v/>
      </c>
      <c r="C91" s="271"/>
      <c r="D91" s="272" t="str">
        <f>IF(AND(SUMIF(RFA!B$51:B$57,"=Rehab",RFA!C$51:C$57)&gt;0,IFERROR(VALUE(LEFT(VLOOKUP(1,Identify,3),4)),0)&gt;=2026,OR(AND(RFA!$D$36="Tax-Exempt Bonds Boost",RFA!$C$36&gt;0),AND(RFA!$D$37="Tax-Exempt Bonds Boost",RFA!$C$37&gt;0))),MIN(D89,D90),"")</f>
        <v/>
      </c>
      <c r="G91" s="311" t="s">
        <v>450</v>
      </c>
      <c r="H91" s="302">
        <f>IF($D$9=21%,ROUNDDOWN(5/21*H89,0),0)</f>
        <v>0</v>
      </c>
      <c r="I91" s="302">
        <f>IF($D$9=21%,ROUNDDOWN(5/21*I89,0),0)</f>
        <v>0</v>
      </c>
      <c r="J91" s="301">
        <f>IFERROR(I91,0)</f>
        <v>0</v>
      </c>
      <c r="K91" s="314">
        <v>0</v>
      </c>
    </row>
    <row r="92" spans="2:11" ht="17.25" customHeight="1" x14ac:dyDescent="0.2">
      <c r="B92" s="273" t="str">
        <f>IF(AND(SUMIF(RFA!B$51:B$57,"=Rehab",RFA!C$51:C$57)&gt;0,IFERROR(VALUE(LEFT(VLOOKUP(1,Identify,3),4)),0)&gt;=2026,OR(AND(RFA!$D$36="Tax-Exempt Bonds Boost",RFA!$C$36&gt;0),AND(RFA!$D$37="Tax-Exempt Bonds Boost",RFA!$C$37&gt;0))),"Maximum Non-Acquisition Developer Fee: ("&amp;IF(N(Max_DF_Bond_w_AR_Units)=D$125,"Total Maximum Developer Fee ("&amp;TEXT(N(Max_DF_Bond_w_AR_Units),"$#,##0")&amp;"), less the Maximum Developer Fee on the Building Allocation ("&amp;TEXT(N(Max_Acq_DF_Bond_w_AR_Units),"$#,##0")&amp;")","from Cell D"&amp;ROW(D$122)&amp;" above)"),"")</f>
        <v/>
      </c>
      <c r="C92" s="134"/>
      <c r="D92" s="111" t="str">
        <f>IF(AND(SUMIF(RFA!B$51:B$57,"=Rehab",RFA!C$51:C$57)&gt;0,IFERROR(VALUE(LEFT(VLOOKUP(1,Identify,3),4)),0)&gt;=2026,OR(AND(RFA!$D$36="Tax-Exempt Bonds Boost",RFA!$C$36&gt;0),AND(RFA!$D$37="Tax-Exempt Bonds Boost",RFA!$C$37&gt;0))),D91-D88,"")</f>
        <v/>
      </c>
      <c r="G92" s="312" t="s">
        <v>244</v>
      </c>
      <c r="H92" s="303">
        <v>0</v>
      </c>
      <c r="I92" s="303">
        <v>0</v>
      </c>
      <c r="J92" s="304">
        <f>IFERROR(I92,0)</f>
        <v>0</v>
      </c>
      <c r="K92" s="315">
        <f>IF(AND(SUMIF(RFA!$B$51:$B$57,"=Rehab",RFA!$C$51:$C$57)&gt;0,IFERROR(VALUE(LEFT(VLOOKUP(1,Identify,3),4)),0)&gt;=2026,OR(AND(RFA!$D$36="Tax-Exempt Bonds Boost",RFA!$C$36&gt;0),AND(RFA!$D$37="Tax-Exempt Bonds Boost",RFA!$C$37&gt;0))),RFA!$C$58,0)</f>
        <v>0</v>
      </c>
    </row>
    <row r="93" spans="2:11" ht="39.75" customHeight="1" x14ac:dyDescent="0.2">
      <c r="G93" s="337" t="str">
        <f>IF(H85=0,"","NA: Non-Acquisition; NADC: Non-Acquisition Development Costs; Max Acq DF will be the Acq Costs x either the Developer Fee % limit or 9% (for A/R 4%HC transactions only)' *Applicable only to A/R 4%HC transactions.")</f>
        <v/>
      </c>
      <c r="H93" s="337"/>
      <c r="I93" s="337"/>
      <c r="J93" s="337"/>
      <c r="K93" s="313"/>
    </row>
    <row r="94" spans="2:11" x14ac:dyDescent="0.2">
      <c r="G94" s="79"/>
      <c r="H94" s="79"/>
      <c r="I94" s="79"/>
      <c r="J94" s="79"/>
    </row>
  </sheetData>
  <sheetProtection algorithmName="SHA-512" hashValue="sGLV5BCLL4aMVX62ptMk5kg+DheSg5kNxZ0iR86EtHSjfYNQEebQ5g+693bedCWCtWUhpnoLZzD0xGDDikpvlw==" saltValue="e9vL63xfv1PHlhRvAxK2Aw==" spinCount="100000" sheet="1" objects="1" scenarios="1"/>
  <mergeCells count="7">
    <mergeCell ref="G93:J93"/>
    <mergeCell ref="B1:B2"/>
    <mergeCell ref="I5:I6"/>
    <mergeCell ref="J5:N6"/>
    <mergeCell ref="D1:F1"/>
    <mergeCell ref="G82:J83"/>
    <mergeCell ref="K82:K83"/>
  </mergeCells>
  <conditionalFormatting sqref="B64:F72">
    <cfRule type="expression" dxfId="15" priority="38">
      <formula>$D$9&lt;&gt;21%</formula>
    </cfRule>
  </conditionalFormatting>
  <conditionalFormatting sqref="B15:G16">
    <cfRule type="expression" dxfId="14" priority="37">
      <formula>$D$14="No"</formula>
    </cfRule>
  </conditionalFormatting>
  <conditionalFormatting sqref="D25">
    <cfRule type="expression" dxfId="13" priority="32">
      <formula>$D$14="No"</formula>
    </cfRule>
  </conditionalFormatting>
  <conditionalFormatting sqref="D37:D39">
    <cfRule type="expression" dxfId="12" priority="24">
      <formula>$D$14="No"</formula>
    </cfRule>
  </conditionalFormatting>
  <conditionalFormatting sqref="D42:D45">
    <cfRule type="expression" dxfId="11" priority="410">
      <formula>$D$36="Yes"</formula>
    </cfRule>
  </conditionalFormatting>
  <conditionalFormatting sqref="D48">
    <cfRule type="expression" dxfId="10" priority="28">
      <formula>$D$47="Yes"</formula>
    </cfRule>
  </conditionalFormatting>
  <conditionalFormatting sqref="F37">
    <cfRule type="cellIs" dxfId="9" priority="23" operator="equal">
      <formula>"NA"</formula>
    </cfRule>
  </conditionalFormatting>
  <conditionalFormatting sqref="F38">
    <cfRule type="cellIs" dxfId="8" priority="22" operator="equal">
      <formula>"NA  "</formula>
    </cfRule>
  </conditionalFormatting>
  <conditionalFormatting sqref="F39">
    <cfRule type="cellIs" dxfId="7" priority="25" operator="equal">
      <formula>"NA"</formula>
    </cfRule>
  </conditionalFormatting>
  <conditionalFormatting sqref="F42:F45">
    <cfRule type="expression" dxfId="6" priority="411">
      <formula>$F$36="Yes"</formula>
    </cfRule>
  </conditionalFormatting>
  <conditionalFormatting sqref="F48">
    <cfRule type="expression" dxfId="5" priority="27">
      <formula>$F$47="Yes"</formula>
    </cfRule>
  </conditionalFormatting>
  <conditionalFormatting sqref="G7:G8">
    <cfRule type="cellIs" dxfId="4" priority="39" operator="equal">
      <formula>"NOT in Balance"</formula>
    </cfRule>
  </conditionalFormatting>
  <conditionalFormatting sqref="G82:K94">
    <cfRule type="expression" dxfId="3" priority="6">
      <formula>$H$85=0</formula>
    </cfRule>
  </conditionalFormatting>
  <conditionalFormatting sqref="H85">
    <cfRule type="cellIs" dxfId="1" priority="2" operator="equal">
      <formula>0</formula>
    </cfRule>
  </conditionalFormatting>
  <printOptions horizontalCentered="1" headings="1" gridLines="1"/>
  <pageMargins left="0.25" right="0.25" top="0.25" bottom="0.25" header="0.3" footer="0.3"/>
  <pageSetup scale="74"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3" id="{8EF53D4A-118A-430C-8670-ADECB7991B47}">
            <xm:f>AND(SUMIF(RFA!$B$51:$B$57,"=Rehab",RFA!$C$51:$C$57)&gt;0,IFERROR(VALUE(LEFT(VLOOKUP(1,Identify,3),4)),0)&gt;=2026,OR(AND(RFA!$D$36="Tax-Exempt Bonds Boost",RFA!$C$36&gt;0),AND(RFA!$D$37="Tax-Exempt Bonds Boost",RFA!$C$37&gt;0)))=FALSE</xm:f>
            <x14:dxf>
              <fill>
                <patternFill>
                  <bgColor theme="0" tint="-4.9989318521683403E-2"/>
                </patternFill>
              </fill>
              <border>
                <left/>
                <right/>
                <top/>
                <bottom/>
                <vertical/>
                <horizontal/>
              </border>
            </x14:dxf>
          </x14:cfRule>
          <xm:sqref>B82:D92</xm:sqref>
        </x14:conditionalFormatting>
        <x14:conditionalFormatting xmlns:xm="http://schemas.microsoft.com/office/excel/2006/main">
          <x14:cfRule type="expression" priority="10" id="{5DA12B93-C7D2-4CB1-8F5D-830A0C2DFB9E}">
            <xm:f>AND(SUMIF(RFA!$B$51:$B$57,"=Rehab",RFA!$C$51:$C$57)&gt;0,IFERROR(VALUE(LEFT(VLOOKUP(1,Identify,3),4)),0)&gt;=2026,OR(AND(RFA!$D$36="Tax-Exempt Bonds Boost",RFA!$C$36&gt;0),AND(RFA!$D$37="Tax-Exempt Bonds Boost",RFA!$C$37&gt;0)))=FALSE</xm:f>
            <x14:dxf>
              <font>
                <color theme="0" tint="-0.24994659260841701"/>
              </font>
              <fill>
                <patternFill patternType="solid">
                  <bgColor theme="0" tint="-4.9989318521683403E-2"/>
                </patternFill>
              </fill>
            </x14:dxf>
          </x14:cfRule>
          <xm:sqref>G86:K86</xm:sqref>
        </x14:conditionalFormatting>
        <x14:conditionalFormatting xmlns:xm="http://schemas.microsoft.com/office/excel/2006/main">
          <x14:cfRule type="expression" priority="7" id="{F0C0E245-8495-42E2-B5C6-B1E7105BD8C6}">
            <xm:f>AND(SUMIF(RFA!$B$51:$B$57,"=Rehab",RFA!$C$51:$C$57)&gt;0,IFERROR(VALUE(LEFT(VLOOKUP(1,Identify,3),4)),0)&gt;=2026,OR(AND(RFA!$D$36="Tax-Exempt Bonds Boost",RFA!$C$36&gt;0),AND(RFA!$D$37="Tax-Exempt Bonds Boost",RFA!$C$37&gt;0)))=FALSE</xm:f>
            <x14:dxf>
              <font>
                <color theme="0" tint="-0.24994659260841701"/>
              </font>
              <fill>
                <patternFill patternType="solid">
                  <bgColor theme="0" tint="-4.9989318521683403E-2"/>
                </patternFill>
              </fill>
            </x14:dxf>
          </x14:cfRule>
          <xm:sqref>K82:K92</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95710DA-FC29-475A-ACB7-3CA597AB297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21</vt:i4>
      </vt:variant>
    </vt:vector>
  </HeadingPairs>
  <TitlesOfParts>
    <vt:vector size="26" baseType="lpstr">
      <vt:lpstr>RFA</vt:lpstr>
      <vt:lpstr>Data</vt:lpstr>
      <vt:lpstr>CUR</vt:lpstr>
      <vt:lpstr>Sheet1</vt:lpstr>
      <vt:lpstr>Both CUR &amp; FCCA</vt:lpstr>
      <vt:lpstr>RFA!AddOns</vt:lpstr>
      <vt:lpstr>RFA!AddOns2</vt:lpstr>
      <vt:lpstr>RFA!AppDue</vt:lpstr>
      <vt:lpstr>RFA!Base01</vt:lpstr>
      <vt:lpstr>RFA!Counties</vt:lpstr>
      <vt:lpstr>RFA!Descriptions</vt:lpstr>
      <vt:lpstr>EscalationFactor</vt:lpstr>
      <vt:lpstr>Identify</vt:lpstr>
      <vt:lpstr>Max_Acq_DF_Bond_w_AR_Units</vt:lpstr>
      <vt:lpstr>Max_DF_Bond_w_AR_Units</vt:lpstr>
      <vt:lpstr>RFA!MultiplierNames</vt:lpstr>
      <vt:lpstr>RFA!MultiplierNumbers</vt:lpstr>
      <vt:lpstr>'Both CUR &amp; FCCA'!Print_Area</vt:lpstr>
      <vt:lpstr>CUR!Print_Area</vt:lpstr>
      <vt:lpstr>RFA!RFAs</vt:lpstr>
      <vt:lpstr>SoftCostMultiplier</vt:lpstr>
      <vt:lpstr>TDC_Table</vt:lpstr>
      <vt:lpstr>RFA!Types</vt:lpstr>
      <vt:lpstr>RFA!Year</vt:lpstr>
      <vt:lpstr>RFA!Years</vt:lpstr>
      <vt:lpstr>RFA!YesNo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Tatreau</dc:creator>
  <cp:lastModifiedBy>Tracy Willis</cp:lastModifiedBy>
  <dcterms:created xsi:type="dcterms:W3CDTF">2021-04-14T14:41:56Z</dcterms:created>
  <dcterms:modified xsi:type="dcterms:W3CDTF">2026-09-30T14:54:40Z</dcterms:modified>
</cp:coreProperties>
</file>