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ctrlProps/ctrlProp20.xml" ContentType="application/vnd.ms-excel.controlproperties+xml"/>
  <Override PartName="/xl/ctrlProps/ctrlProp21.xml" ContentType="application/vnd.ms-excel.controlproperties+xml"/>
  <Override PartName="/xl/drawings/drawing4.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5.xml" ContentType="application/vnd.openxmlformats-officedocument.drawing+xml"/>
  <Override PartName="/xl/ctrlProps/ctrlProp33.xml" ContentType="application/vnd.ms-excel.controlproperties+xml"/>
  <Override PartName="/xl/ctrlProps/ctrlProp34.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2 Rules and RFAs/2022-109 HOME-ARP for PSN/"/>
    </mc:Choice>
  </mc:AlternateContent>
  <xr:revisionPtr revIDLastSave="75" documentId="8_{5C5F4BAD-3AD8-4095-952C-8CFD8DBE4DBE}" xr6:coauthVersionLast="47" xr6:coauthVersionMax="47" xr10:uidLastSave="{158DDAA5-97C3-4FC6-B800-1D44A50434E5}"/>
  <workbookProtection workbookAlgorithmName="SHA-512" workbookHashValue="CyrN0PEusLkJ/6pG2K07/7ajUZkkmj2KqUIMTKlnukRQSbhZyXne/0YSJlDPBiMVIdw7Jlvw1LFPdZkS47f3+Q==" workbookSaltValue="wYVwS9YGjeux1cdbMU2eYw==" workbookSpinCount="100000" lockStructure="1"/>
  <bookViews>
    <workbookView xWindow="22932" yWindow="-108" windowWidth="23256" windowHeight="12576" tabRatio="749" firstSheet="7" activeTab="7" xr2:uid="{00000000-000D-0000-FFFF-FFFF00000000}"/>
  </bookViews>
  <sheets>
    <sheet name="Notations" sheetId="32" state="veryHidden" r:id="rId1"/>
    <sheet name="Eligibility Table" sheetId="27" state="veryHidden" r:id="rId2"/>
    <sheet name="Tracy's Notes" sheetId="33" state="veryHidden" r:id="rId3"/>
    <sheet name="Completed" sheetId="29" state="veryHidden" r:id="rId4"/>
    <sheet name="Data1" sheetId="1" state="veryHidden" r:id="rId5"/>
    <sheet name="Data2" sheetId="19" state="veryHidden" r:id="rId6"/>
    <sheet name="Data3" sheetId="24" state="veryHidden" r:id="rId7"/>
    <sheet name="General Information" sheetId="2" r:id="rId8"/>
    <sheet name="Proposed Development Info" sheetId="3" r:id="rId9"/>
    <sheet name="Development Location" sheetId="4" r:id="rId10"/>
    <sheet name="Proximity, Mand.Dist., RECAP" sheetId="14" state="veryHidden" r:id="rId11"/>
    <sheet name="Units, Set-Asides, Bldgs" sheetId="5" r:id="rId12"/>
    <sheet name="Readiness to Proceed" sheetId="16" r:id="rId13"/>
    <sheet name="Construction Features" sheetId="7" r:id="rId14"/>
    <sheet name="Services" sheetId="34" r:id="rId15"/>
    <sheet name="Resident Programs" sheetId="8" state="veryHidden" r:id="rId16"/>
    <sheet name="Funding" sheetId="9" r:id="rId17"/>
    <sheet name="Local Gov't Contributions" sheetId="18" state="veryHidden" r:id="rId18"/>
    <sheet name="Pro Forma" sheetId="26" r:id="rId19"/>
    <sheet name="HOME URA" sheetId="36" r:id="rId20"/>
    <sheet name="B. Other Information" sheetId="10" r:id="rId21"/>
    <sheet name="Narrative Scoring" sheetId="35" r:id="rId22"/>
    <sheet name="Certification" sheetId="20" r:id="rId23"/>
  </sheets>
  <definedNames>
    <definedName name="ACC_units">'Proposed Development Info'!$F$46</definedName>
    <definedName name="Acq_elig">'Pro Forma'!$H$177</definedName>
    <definedName name="Acq_inelig">'Pro Forma'!$K$177</definedName>
    <definedName name="Acq_total">'Pro Forma'!$N$177</definedName>
    <definedName name="Acquisition_eligible">'Pro Forma'!$H$182</definedName>
    <definedName name="Acquisition_ineligible">'Pro Forma'!$K$182</definedName>
    <definedName name="Acquisition_total">'Pro Forma'!$N$182</definedName>
    <definedName name="Actual_Accessory_eligible">'Pro Forma'!$H$45</definedName>
    <definedName name="Actual_Accessory_ineligible">'Pro Forma'!$K$45</definedName>
    <definedName name="Actual_Accessory_total">'Pro Forma'!$N$45</definedName>
    <definedName name="Actual_Comm_Retail_eligible">'Pro Forma'!$H$49</definedName>
    <definedName name="Actual_Comm_Retail_ineligible">'Pro Forma'!$K$49</definedName>
    <definedName name="Actual_Comm_Retail_total">'Pro Forma'!$N$49</definedName>
    <definedName name="Actual_commonareas_eligible">'Pro Forma'!$H$57</definedName>
    <definedName name="Actual_commonareas_ineligible">'Pro Forma'!$K$57</definedName>
    <definedName name="Actual_commonareas_total">'Pro Forma'!$N$57</definedName>
    <definedName name="Actual_Constructioncost_eligible">'Pro Forma'!$H$65</definedName>
    <definedName name="Actual_Constructioncost_ineligible">'Pro Forma'!$K$65</definedName>
    <definedName name="Actual_Constructioncost_total">'Pro Forma'!$N$65</definedName>
    <definedName name="Actual_Demolition_eligible">'Pro Forma'!$H$47</definedName>
    <definedName name="Actual_Demolition_ineligible">'Pro Forma'!$K$47</definedName>
    <definedName name="Actual_Demolition_total">'Pro Forma'!$N$47</definedName>
    <definedName name="Actual_existingrental_eligible">'Pro Forma'!$H$59</definedName>
    <definedName name="Actual_existingrental_ineligible">'Pro Forma'!$K$59</definedName>
    <definedName name="Actual_existingrental_total">'Pro Forma'!$N$59</definedName>
    <definedName name="Actual_GCfee_eligible">'Pro Forma'!$H$68</definedName>
    <definedName name="Actual_GCfee_ineligible">'Pro Forma'!$K$68</definedName>
    <definedName name="Actual_GCfee_total">'Pro Forma'!$N$68</definedName>
    <definedName name="Actual_NewUnits_eligible">'Pro Forma'!$H$51</definedName>
    <definedName name="Actual_NewUnits_ineligible">'Pro Forma'!$K$51</definedName>
    <definedName name="Actual_NewUnits_total">'Pro Forma'!$N$51</definedName>
    <definedName name="Actual_Offsite_eligible">'Pro Forma'!$H$53</definedName>
    <definedName name="Actual_Offsite_ineligible">'Pro Forma'!$K$53</definedName>
    <definedName name="Actual_Offsite_total">'Pro Forma'!$N$53</definedName>
    <definedName name="Actual_Other_eligible">'Pro Forma'!$H$63</definedName>
    <definedName name="Actual_Other_ineligible">'Pro Forma'!$K$63</definedName>
    <definedName name="Actual_Other_total">'Pro Forma'!$N$63</definedName>
    <definedName name="Actual_recreational_eligible">'Pro Forma'!$H$55</definedName>
    <definedName name="Actual_recreational_ineligible">'Pro Forma'!$K$55</definedName>
    <definedName name="Actual_recreational_total">'Pro Forma'!$N$55</definedName>
    <definedName name="Actual_sitework_eligible">'Pro Forma'!$H$61</definedName>
    <definedName name="Actual_sitework_ineligible">'Pro Forma'!$K$61</definedName>
    <definedName name="Actual_sitework_total">'Pro Forma'!$N$61</definedName>
    <definedName name="Actual_TotalConstructioncost_eligible">'Pro Forma'!$H$71</definedName>
    <definedName name="Actual_TotalConstructioncost_ineligible">'Pro Forma'!$K$71</definedName>
    <definedName name="Actual_TotalConstructioncost_total">'Pro Forma'!$N$71</definedName>
    <definedName name="Addenda_Comments">'B. Other Information'!$A$18</definedName>
    <definedName name="Addenda_Comments_2">'B. Other Information'!$A$19</definedName>
    <definedName name="AIT_HC_SA_Percent">'Units, Set-Asides, Bldgs'!$G$46</definedName>
    <definedName name="App_number_first_phase">Funding!$E$136</definedName>
    <definedName name="Application_Fee_Method">'B. Other Information'!$A$9</definedName>
    <definedName name="ARP_Request_Amount">Funding!$I$72</definedName>
    <definedName name="Authorized_Contact_Address">'General Information'!$F$145</definedName>
    <definedName name="Authorized_Contact_City">'General Information'!$F$146</definedName>
    <definedName name="Authorized_Contact_EMail">'General Information'!$F$150</definedName>
    <definedName name="Authorized_Contact_First_Name">'General Information'!$F$142</definedName>
    <definedName name="Authorized_Contact_Last_Name">'General Information'!$F$143</definedName>
    <definedName name="Authorized_Contact_Middle_Initial">'General Information'!$H$142</definedName>
    <definedName name="Authorized_Contact_Phone">'General Information'!$F$149</definedName>
    <definedName name="Authorized_Contact_Phone_Ext">'General Information'!$H$149</definedName>
    <definedName name="Authorized_Contact_State">'General Information'!$F$147</definedName>
    <definedName name="Authorized_Contact_Zip">'General Information'!$F$148</definedName>
    <definedName name="avg_AMI_HC_Units_in_avg_inc_chart">'Units, Set-Asides, Bldgs'!$I$48</definedName>
    <definedName name="Calc_BusRapid">Data1!$D$297</definedName>
    <definedName name="Calc_BusStop1">Data1!$D$293</definedName>
    <definedName name="Calc_BusStop2">Data1!$D$294</definedName>
    <definedName name="Calc_BusStop3">Data1!$D$295</definedName>
    <definedName name="Calc_BusTransfer">Data1!$D$296</definedName>
    <definedName name="Calc_Rail">Data1!$D$298</definedName>
    <definedName name="Cert_Signature">Certification!$K$29</definedName>
    <definedName name="Cert_Title_of_Signature">Certification!$C$31</definedName>
    <definedName name="Community_Based_Board">'General Information'!$C$138</definedName>
    <definedName name="community_service_points_achieved">'Proximity, Mand.Dist., RECAP'!$H$70</definedName>
    <definedName name="Company_Of_Authorized_Contact_Person">'General Information'!$F$144</definedName>
    <definedName name="Company_Of_Operational_Contact_Person">'General Information'!$F$155</definedName>
    <definedName name="Competitive_HC_Request_Amount">Funding!$I$125</definedName>
    <definedName name="Compliance_Period">'Units, Set-Asides, Bldgs'!$J$128</definedName>
    <definedName name="ConstrAnalysis__1st_Mtg">'Pro Forma'!$H$266</definedName>
    <definedName name="ConstrAnalysis__1st_Type">'Pro Forma'!$K$266</definedName>
    <definedName name="ConstrAnalysis__2nd_Mtg">'Pro Forma'!$H$268</definedName>
    <definedName name="ConstrAnalysis__2nd_Type">'Pro Forma'!$K$268</definedName>
    <definedName name="ConstrAnalysis__3rd_Mtg">'Pro Forma'!$H$270</definedName>
    <definedName name="ConstrAnalysis__3rd_Type">'Pro Forma'!$K$270</definedName>
    <definedName name="ConstrAnalysis__4th_Mtg">'Pro Forma'!$H$272</definedName>
    <definedName name="ConstrAnalysis__4th_Type">'Pro Forma'!$K$272</definedName>
    <definedName name="ConstrAnalysis__5th_Mtg">'Pro Forma'!$H$274</definedName>
    <definedName name="ConstrAnalysis__5th_Type">'Pro Forma'!$K$274</definedName>
    <definedName name="ConstrAnalysis__6th_Mtg">'Pro Forma'!$H$276</definedName>
    <definedName name="ConstrAnalysis__6th_Type">'Pro Forma'!$K$276</definedName>
    <definedName name="ConstrAnalysis__7th_Mtg">'Pro Forma'!$H$278</definedName>
    <definedName name="ConstrAnalysis__7th_Type">'Pro Forma'!$K$278</definedName>
    <definedName name="ConstrAnalysis__8th_Mtg">'Pro Forma'!$H$280</definedName>
    <definedName name="ConstrAnalysis__8th_Type">'Pro Forma'!$K$280</definedName>
    <definedName name="ConstrAnalysis__9th_Mtg">'Pro Forma'!$H$282</definedName>
    <definedName name="ConstrAnalysis__9th_Type">'Pro Forma'!$K$282</definedName>
    <definedName name="ConstrAnalysis_10th_Mtg">'Pro Forma'!$H$284</definedName>
    <definedName name="ConstrAnalysis_10th_Type">'Pro Forma'!$K$284</definedName>
    <definedName name="ConstrAnalysis_deferredfee">'Pro Forma'!$H$298</definedName>
    <definedName name="ConstrAnalysis_HC">'Pro Forma'!$H$292</definedName>
    <definedName name="ConstrAnalysis_Other_1_Type">'Pro Forma'!$K$294</definedName>
    <definedName name="ConstrAnalysis_Other_2_Type">'Pro Forma'!$K$296</definedName>
    <definedName name="ConstrAnalysis_other1">'Pro Forma'!$H$294</definedName>
    <definedName name="ConstrAnalysis_other1_title">'Pro Forma'!$E$294</definedName>
    <definedName name="ConstrAnalysis_other2">'Pro Forma'!$H$296</definedName>
    <definedName name="ConstrAnalysis_other2_title">'Pro Forma'!$E$296</definedName>
    <definedName name="ConstrAnalysis_surplus">'Pro Forma'!$H$304</definedName>
    <definedName name="ConstrAnalysis_totalsources">'Pro Forma'!$H$300</definedName>
    <definedName name="ConstrFeaturesMultiplier">Funding!$I$252</definedName>
    <definedName name="Contingency_Hard_eligible">'Pro Forma'!$H$73</definedName>
    <definedName name="Contingency_Hard_ineligible">'Pro Forma'!$K$73</definedName>
    <definedName name="Contingency_Hard_total">'Pro Forma'!$N$73</definedName>
    <definedName name="Contingency_Soft_eligible">'Pro Forma'!$H$139</definedName>
    <definedName name="Contingency_Soft_ineligible">'Pro Forma'!$K$139</definedName>
    <definedName name="Contingency_Soft_total">'Pro Forma'!$N$139</definedName>
    <definedName name="County">'Development Location'!$F$3</definedName>
    <definedName name="County_Size">'Development Location'!$H$3</definedName>
    <definedName name="DDA_nonmetro">Funding!$E$147</definedName>
    <definedName name="DDA_nonmetro_name">Funding!$E$149</definedName>
    <definedName name="Demographic">'General Information'!$F$10</definedName>
    <definedName name="Description_acquisition_other">'Pro Forma'!$F$250</definedName>
    <definedName name="Description_Actual_offsite">'Pro Forma'!$F$217</definedName>
    <definedName name="Description_Actual_other">'Pro Forma'!$F$221</definedName>
    <definedName name="Description_financial_other">'Pro Forma'!$F$243</definedName>
    <definedName name="Description_General_impact">'Pro Forma'!$F$228</definedName>
    <definedName name="Description_General_other">'Pro Forma'!$F$234</definedName>
    <definedName name="Developer_fee_acq_eligible">'Pro Forma'!$H$188</definedName>
    <definedName name="Developer_fee_acq_ineligible">'Pro Forma'!$K$188</definedName>
    <definedName name="Developer_fee_acq_total">'Pro Forma'!$N$188</definedName>
    <definedName name="Developer_fee_demo">'Pro Forma'!$N$193</definedName>
    <definedName name="Developer_fee_eligible">'Pro Forma'!$H$195</definedName>
    <definedName name="Developer_fee_ineligible">'Pro Forma'!$K$195</definedName>
    <definedName name="Developer_fee_non_acq_eligible">'Pro Forma'!$H$190</definedName>
    <definedName name="Developer_fee_non_acq_ineligible">'Pro Forma'!$K$190</definedName>
    <definedName name="Developer_fee_non_acq_total">'Pro Forma'!$N$190</definedName>
    <definedName name="Developer_fee_Percentage_dropdown">'Pro Forma'!$Q$190</definedName>
    <definedName name="Developer_fee_total">'Pro Forma'!$N$195</definedName>
    <definedName name="Development_Category">'Proposed Development Info'!$G$6</definedName>
    <definedName name="Development_Cost_eligible">'Pro Forma'!$H$184</definedName>
    <definedName name="Development_Cost_ineligible">'Pro Forma'!$K$184</definedName>
    <definedName name="Development_Cost_total">'Pro Forma'!$N$184</definedName>
    <definedName name="Development_Location">'Development Location'!$E$11</definedName>
    <definedName name="Development_Location_City">'Development Location'!$G$13</definedName>
    <definedName name="Development_Location_Zip">'Development Location'!$I$13</definedName>
    <definedName name="DevExp_first_Dev_location">'General Information'!$F$66</definedName>
    <definedName name="DevExp_first_Dev_name">'General Information'!$F$65</definedName>
    <definedName name="DevExp_first_Dev_program">'General Information'!$F$68</definedName>
    <definedName name="DevExp_first_Dev_units">'General Information'!$F$70</definedName>
    <definedName name="DevExp_first_Dev_year">'General Information'!$F$71</definedName>
    <definedName name="DevExp_natural_person">'General Information'!$G$61</definedName>
    <definedName name="DevExp_natural_person_entity">'General Information'!$G$62</definedName>
    <definedName name="DevExp_second_Dev_location">'General Information'!$F$75</definedName>
    <definedName name="DevExp_second_Dev_name">'General Information'!$F$74</definedName>
    <definedName name="DevExp_second_Dev_program">'General Information'!$F$77</definedName>
    <definedName name="DevExp_second_Dev_units">'General Information'!$F$79</definedName>
    <definedName name="DevExp_second_Dev_year">'General Information'!$F$80</definedName>
    <definedName name="DevExp_third_Dev_location">'General Information'!$F$84</definedName>
    <definedName name="DevExp_third_Dev_name">'General Information'!$F$83</definedName>
    <definedName name="DevExp_third_Dev_program">'General Information'!$F$86</definedName>
    <definedName name="DevExp_third_Dev_units">'General Information'!$F$88</definedName>
    <definedName name="DevExp_third_Dev_year">'General Information'!$F$89</definedName>
    <definedName name="DevType">'Proposed Development Info'!$C$59</definedName>
    <definedName name="DLP_latitude">'Development Location'!$H$23</definedName>
    <definedName name="DLP_longitude">'Development Location'!$H$24</definedName>
    <definedName name="DonationOfLand">Funding!$I$230</definedName>
    <definedName name="DS_Add_On_1">Data3!$F$199</definedName>
    <definedName name="DS_Add_On_1_Y">Data3!$F$199</definedName>
    <definedName name="DS_Add_On_2">Data3!$F$200</definedName>
    <definedName name="DS_Add_On_2_Y">Data3!$F$200</definedName>
    <definedName name="DS_AMI_List">Data1!$F$517:$F$531</definedName>
    <definedName name="DS_AppDeadline">Data1!$E$9</definedName>
    <definedName name="DS_ARP_PD">Data3!$C$104</definedName>
    <definedName name="DS_ARP_PU">Data3!$C$105</definedName>
    <definedName name="DS_Authorized_Contact_Full_Name">Data1!$F$142</definedName>
    <definedName name="DS_Bond_ADDON">Data3!$G$200</definedName>
    <definedName name="DS_Comment_Max_Gap_SA">Data1!$B$406</definedName>
    <definedName name="DS_Comment_Min_ElderlyALF_SA_a">Data1!$B$392</definedName>
    <definedName name="DS_Comment_Min_ElderlyALF_SA_b">Data1!$B$400</definedName>
    <definedName name="DS_Comment_Min_ELI_SA_a">Data1!$B$394</definedName>
    <definedName name="DS_Comment_Min_ELI_SA_b">Data1!$B$402</definedName>
    <definedName name="DS_Comment_Min_Gap_ELI_SA">Data1!$B$407</definedName>
    <definedName name="DS_Comment_Min_Gap_LowerAMI_SA">Data1!$B$408</definedName>
    <definedName name="DS_Comment_Min_Gap_SA">Data1!$B$405</definedName>
    <definedName name="DS_Comment_Min_IRS_and_Loan_SA_a">Data1!$B$389</definedName>
    <definedName name="DS_Comment_Min_IRS_and_Loan_SA_b">Data1!$B$397</definedName>
    <definedName name="DS_Comment_Min_IRS_NonProfit_SA_a">Data1!$B$390</definedName>
    <definedName name="DS_Comment_Min_IRS_NonProfit_SA_b">Data1!$B$398</definedName>
    <definedName name="DS_Comment_Min_Max_Workforce_SA_a">Data1!$B$391</definedName>
    <definedName name="DS_Comment_Min_Max_Workforce_SA_b">Data1!$B$399</definedName>
    <definedName name="DS_Comment_Min_RFA_SA_a">Data1!$B$393</definedName>
    <definedName name="DS_Comment_Min_RFA_SA_b">Data1!$B$401</definedName>
    <definedName name="DS_Comment_Total_Units_a">Data1!$B$388</definedName>
    <definedName name="DS_Comment_Total_Units_b">Data1!$B$396</definedName>
    <definedName name="DS_Comment_Total_Units_Gap">Data1!$B$404</definedName>
    <definedName name="DS_Constr_Feat_Multiplier">Data3!$G$205</definedName>
    <definedName name="DS_Counties_DataNames">Data1!$A$177:$A$243</definedName>
    <definedName name="DS_Counties_DDMenu">Data1!$F$176:$F$243</definedName>
    <definedName name="DS_Counties_Sequence">Data1!$C$177:$C$243</definedName>
    <definedName name="DS_County_Sizes">Data1!$A$177:$I$243</definedName>
    <definedName name="DS_CountyData">Data3!$A$9:$P$76</definedName>
    <definedName name="DS_CountyGAOs">Data2!$Q$23:$Q$311</definedName>
    <definedName name="DS_CountyQCTs">Data2!$O$23:$O$181</definedName>
    <definedName name="DS_Demo_DataNames">Data1!$A$12:$A$21</definedName>
    <definedName name="DS_Demo_DDMenu">Data1!$F$11:$F$21</definedName>
    <definedName name="DS_Demo_Multiplier">Data3!$G$202</definedName>
    <definedName name="DS_Demo_Sequence">Data1!$C$12:$C$21</definedName>
    <definedName name="DS_DevCat_DataNames">Data1!$A$146:$A$152</definedName>
    <definedName name="DS_DevCat_DDMenu">Data1!$F$145:$F$152</definedName>
    <definedName name="DS_DevCat_Sequence">Data1!$C$146:$C$152</definedName>
    <definedName name="DS_DevExpDate">Data1!$E$70</definedName>
    <definedName name="DS_DevExpDateMinDevs">Data1!$E$71</definedName>
    <definedName name="DS_DevExpMinDevs_List">Data1!$E$69</definedName>
    <definedName name="DS_DevExpMinDevs_Units">Data1!$E$77</definedName>
    <definedName name="DS_DevExpMinUnitsNumber">Data1!$E$75</definedName>
    <definedName name="DS_DevExpMinUnitsPercent">Data1!$E$74</definedName>
    <definedName name="DS_DevExpMinUnitsSelect">Data1!$E$76</definedName>
    <definedName name="DS_DevExpPrgm">Data1!$E$72</definedName>
    <definedName name="DS_DevExpPrgmMinDevs">Data1!$E$73</definedName>
    <definedName name="DS_DevExpProgs_DataNames">Data1!$A$35:$A$66</definedName>
    <definedName name="DS_DevExpProgs_DDMenu">Data1!$F$34:$F$66</definedName>
    <definedName name="DS_DevExpProgs_Sequence">Data1!$C$35:$C$66</definedName>
    <definedName name="DS_DevType_DataNames">Data1!$A$254:$A$265</definedName>
    <definedName name="DS_DevType_DDMenu">Data1!$F$253:$F$265</definedName>
    <definedName name="DS_DevType_Sequence">Data1!$C$254:$C$265</definedName>
    <definedName name="DS_DS_Elig_Submission">'Eligibility Table'!$L$4</definedName>
    <definedName name="DS_Elderly_ALF_Multiplier">Data3!$G$201</definedName>
    <definedName name="DS_ELI_Data">Data3!$A$9:$N$76</definedName>
    <definedName name="DS_ELI_PD">Data3!$C$94</definedName>
    <definedName name="DS_Elig_Address">'Eligibility Table'!$L$24</definedName>
    <definedName name="DS_Elig_App">'Eligibility Table'!$L$8</definedName>
    <definedName name="DS_Elig_AppLegal">'Eligibility Table'!$L$9</definedName>
    <definedName name="DS_Elig_Arrear">'Eligibility Table'!$L$56</definedName>
    <definedName name="DS_Elig_Bldgs">'Eligibility Table'!$L$39</definedName>
    <definedName name="DS_Elig_Cert">'Eligibility Table'!$L$6</definedName>
    <definedName name="DS_Elig_County">'Eligibility Table'!$L$23</definedName>
    <definedName name="DS_Elig_Demo">'Eligibility Table'!$L$7</definedName>
    <definedName name="DS_Elig_Dev">'Eligibility Table'!$L$10</definedName>
    <definedName name="DS_Elig_DevCat">'Eligibility Table'!$L$19</definedName>
    <definedName name="DS_Elig_DevCatMet">'Eligibility Table'!$L$20</definedName>
    <definedName name="DS_Elig_DevExp">'Eligibility Table'!$L$12</definedName>
    <definedName name="DS_Elig_DevLegal">'Eligibility Table'!$L$11</definedName>
    <definedName name="DS_Elig_DevType">'Eligibility Table'!$L$21</definedName>
    <definedName name="DS_Elig_Gap_SAChart">'Eligibility Table'!$L$37</definedName>
    <definedName name="DS_Elig_Green">'Eligibility Table'!$L$44</definedName>
    <definedName name="DS_Elig_HC_SACharts">'Eligibility Table'!$L$36</definedName>
    <definedName name="DS_Elig_LatLong">'Eligibility Table'!$L$27</definedName>
    <definedName name="DS_Elig_Loan_SAChart">'Eligibility Table'!$L$35</definedName>
    <definedName name="DS_Elig_LocPoint">'Eligibility Table'!$L$26</definedName>
    <definedName name="DS_Elig_MandDist">'Eligibility Table'!$L$30</definedName>
    <definedName name="DS_Elig_Mgmt">'Eligibility Table'!$L$14</definedName>
    <definedName name="DS_Elig_MgmtContact">'Eligibility Table'!$L$15</definedName>
    <definedName name="DS_Elig_MgmtExp">'Eligibility Table'!$L$16</definedName>
    <definedName name="DS_Elig_MinSA">'Eligibility Table'!$L$34</definedName>
    <definedName name="DS_Elig_NoDeobs">'Eligibility Table'!$L$58</definedName>
    <definedName name="DS_Elig_NoInvite">'Eligibility Table'!$L$57</definedName>
    <definedName name="DS_Elig_NotClosed">'Eligibility Table'!$L$5</definedName>
    <definedName name="DS_Elig_Occup">'Eligibility Table'!$L$33</definedName>
    <definedName name="DS_Elig_PrincDisclosure">'Eligibility Table'!$L$13</definedName>
    <definedName name="DS_Elig_PrincRep">'Eligibility Table'!$L$17</definedName>
    <definedName name="DS_Elig_PropDevName">'Eligibility Table'!$L$18</definedName>
    <definedName name="DS_Elig_Prox">'Eligibility Table'!$L$29</definedName>
    <definedName name="DS_Elig_ResProg">'Eligibility Table'!$L$45</definedName>
    <definedName name="DS_Elig_Scattered">'Eligibility Table'!$L$25</definedName>
    <definedName name="DS_Elig_Sewer">'Eligibility Table'!$L$43</definedName>
    <definedName name="DS_Elig_Site">'Eligibility Table'!$L$40</definedName>
    <definedName name="DS_Elig_Transit">'Eligibility Table'!$L$28</definedName>
    <definedName name="DS_Elig_UnitCat">'Eligibility Table'!$L$32</definedName>
    <definedName name="DS_Elig_UnitMix">'Eligibility Table'!$L$38</definedName>
    <definedName name="DS_Elig_Units">'Eligibility Table'!$L$31</definedName>
    <definedName name="DS_Elig_UnitTypes">'Eligibility Table'!$L$22</definedName>
    <definedName name="DS_Elig_Water">'Eligibility Table'!$L$42</definedName>
    <definedName name="DS_Elig_Zoning">'Eligibility Table'!$L$41</definedName>
    <definedName name="DS_FHFC_Source_1_Amt">Data2!$D$5</definedName>
    <definedName name="DS_FHFC_Source_1_Label">Data2!$F$5</definedName>
    <definedName name="DS_FHFC_Source_1_Max_Amt">Data2!$G$5</definedName>
    <definedName name="DS_FHFC_Source_1_Name">Data2!$B$5</definedName>
    <definedName name="DS_FHFC_Source_2_Amt">Data2!$D$6</definedName>
    <definedName name="DS_FHFC_Source_2_Label">Data2!$F$6</definedName>
    <definedName name="DS_FHFC_Source_2_Max_Amt">Data2!$G$6</definedName>
    <definedName name="DS_FHFC_Source_2_Name">Data2!$B$6</definedName>
    <definedName name="DS_FHFC_Source_3_Amt">Data2!$D$7</definedName>
    <definedName name="DS_FHFC_Source_3_Label">Data2!$F$7</definedName>
    <definedName name="DS_FHFC_Source_3_Max_Amt">Data2!$G$7</definedName>
    <definedName name="DS_FHFC_Source_3_Name">Data2!$B$7</definedName>
    <definedName name="DS_FHFC_Source_4_Amt">Data2!$D$8</definedName>
    <definedName name="DS_FHFC_Source_4_Label">Data2!$F$8</definedName>
    <definedName name="DS_FHFC_Source_4_Max_Amt">Data2!$G$8</definedName>
    <definedName name="DS_FHFC_Source_4_Name">Data2!$B$8</definedName>
    <definedName name="DS_FLJobs_Grant">Data3!$G$150</definedName>
    <definedName name="DS_FLJobs_HC">Data3!$G$145</definedName>
    <definedName name="DS_FLJobs_HOME">Data3!$G$148</definedName>
    <definedName name="DS_FLJobs_HOME_ARP">Data3!$G$149</definedName>
    <definedName name="DS_FLJobs_MFAR">Data3!$G$141</definedName>
    <definedName name="DS_FLJobs_MFNC">Data3!$G$140</definedName>
    <definedName name="DS_FLJobs_MFRO">Data3!$G$143</definedName>
    <definedName name="DS_FLJobs_Min_Score1">Data3!$G$138</definedName>
    <definedName name="DS_FLJobs_Min_Score2">Data3!$G$139</definedName>
    <definedName name="DS_FLJobs_MP_HC">Data3!$G$144</definedName>
    <definedName name="DS_FLJobs_SAIL">Data3!$G$147</definedName>
    <definedName name="DS_FLJobs_Score">Data3!$G$151</definedName>
    <definedName name="DS_FLJobs_SFNC">Data3!$G$142</definedName>
    <definedName name="DS_FLJobs_Workforce">Data3!$G$146</definedName>
    <definedName name="DS_GAO_Counties">Data2!$M$23:$M$2323</definedName>
    <definedName name="DS_GAOs_effective2.1.21">Data2!$L$23:$M$2323</definedName>
    <definedName name="DS_Gap_AMI_Max">Data1!$B$362</definedName>
    <definedName name="DS_Gap_Max_SA_Perc">Data1!$B$364</definedName>
    <definedName name="DS_Gap_Min_SA_Perc">Data1!$B$363</definedName>
    <definedName name="DS_Gap_Name">Data1!$B$361</definedName>
    <definedName name="DS_Gap_SS_Low_AMI_AIT">Data1!$B$368</definedName>
    <definedName name="DS_Gap_SS_Low_AMI_Non">Data1!$B$366</definedName>
    <definedName name="DS_Gap_SS_Low_SA_AIT">Data1!$B$367</definedName>
    <definedName name="DS_Gap_SS_Low_SA_Non">Data1!$B$365</definedName>
    <definedName name="DS_Grant_PD">Data3!$C$110</definedName>
    <definedName name="DS_Green_DataNames">Data1!$A$432:$A$435</definedName>
    <definedName name="DS_Green_DDMenu">Data1!$F$431:$F$435</definedName>
    <definedName name="DS_Green_Sequence">Data1!$C$432:$C$435</definedName>
    <definedName name="DS_HC_Min_SA_Perc">Data1!$B$345</definedName>
    <definedName name="DS_HOME_PD">Data3!$C$98</definedName>
    <definedName name="DS_HOME_PU_0Bd">Data3!$C$99</definedName>
    <definedName name="DS_HOME_PU_1Bd">Data3!$C$100</definedName>
    <definedName name="DS_HOME_PU_2Bd">Data3!$C$101</definedName>
    <definedName name="DS_HOME_PU_3Bd">Data3!$C$102</definedName>
    <definedName name="DS_HOME_PU_4Bd">Data3!$C$103</definedName>
    <definedName name="DS_KeysLocation_DDMenu">Data1!$F$245:$F$247</definedName>
    <definedName name="DS_Lev_MP_Broward">Data3!$G$128</definedName>
    <definedName name="DS_LEV_MP_ESS">Data3!$G$130</definedName>
    <definedName name="DS_Lev_MP_GA">Data3!$G$133</definedName>
    <definedName name="DS_Lev_MP_HC">Data3!$G$126</definedName>
    <definedName name="DS_Lev_MP_HR">Data3!$G$131</definedName>
    <definedName name="DS_Lev_MP_Loan">Data3!$G$127</definedName>
    <definedName name="DS_Lev_MP_MR">Data3!$G$132</definedName>
    <definedName name="DS_Lev_MP_Oth">Data3!$G$134</definedName>
    <definedName name="DS_Lev_MP_PHA">Data3!$G$129</definedName>
    <definedName name="DS_Loan_Min_SA_Perc">Data1!$B$357</definedName>
    <definedName name="DS_Loan_Name">Data1!$B$356</definedName>
    <definedName name="DS_Managing_DDMenu">Data1!$F$136:$F$138</definedName>
    <definedName name="DS_MAX_NHTF">Data3!$C$179:$K$193</definedName>
    <definedName name="DS_Max_Units">Data1!$F$324</definedName>
    <definedName name="DS_Max_Units_General_Large">Data1!$B$326</definedName>
    <definedName name="DS_Max_Units_General_Medium">Data1!$B$325</definedName>
    <definedName name="DS_Max_Units_General_Small">Data1!$B$324</definedName>
    <definedName name="DS_MaxDevFeeAcq_Percent">Data3!$G$159</definedName>
    <definedName name="DS_MaxDevFeeNonAcq_Percent">Data3!$G$160</definedName>
    <definedName name="DS_MaxDevFeeODR_Percent">Data3!$G$161</definedName>
    <definedName name="DS_MaxGCFee">Data3!$G$155</definedName>
    <definedName name="DS_MaxHCCNC">Data3!$G$156</definedName>
    <definedName name="DS_MaxHCCR">Data3!$G$157</definedName>
    <definedName name="DS_MaxSCC">Data3!$G$158</definedName>
    <definedName name="DS_MaxUnits_NC_ALF">Data1!$B$329</definedName>
    <definedName name="DS_MaxUnits_NC_E_BMD">Data1!$B$327</definedName>
    <definedName name="DS_MaxUnits_NC_E_NonBMD">Data1!$B$328</definedName>
    <definedName name="DS_MaxUnits_NC_F_MMRB">Data1!$B$330</definedName>
    <definedName name="DS_MDCounty_DDMenu">Data1!$F$249:$F$251</definedName>
    <definedName name="DS_Met_Address">'Eligibility Table'!$J$24</definedName>
    <definedName name="DS_Met_App">'Eligibility Table'!$J$8</definedName>
    <definedName name="DS_Met_AppLegal">'Eligibility Table'!$J$9</definedName>
    <definedName name="DS_Met_Arrear">'Eligibility Table'!$J$56</definedName>
    <definedName name="DS_Met_Bldgs">'Eligibility Table'!$J$39</definedName>
    <definedName name="DS_Met_Cert">'Eligibility Table'!$J$6</definedName>
    <definedName name="DS_Met_County">'Eligibility Table'!$J$23</definedName>
    <definedName name="DS_Met_Demo">'Eligibility Table'!$J$7</definedName>
    <definedName name="DS_Met_Dev">'Eligibility Table'!$J$10</definedName>
    <definedName name="DS_Met_DevCat">'Eligibility Table'!$J$19</definedName>
    <definedName name="DS_Met_DevCatMet">'Eligibility Table'!$J$20</definedName>
    <definedName name="DS_Met_DevExp">'Eligibility Table'!$J$12</definedName>
    <definedName name="DS_Met_DevLegal">'Eligibility Table'!$J$11</definedName>
    <definedName name="DS_Met_DevType">'Eligibility Table'!$J$21</definedName>
    <definedName name="DS_Met_Gap_SAChart">'Eligibility Table'!$J$37</definedName>
    <definedName name="DS_Met_Green">'Eligibility Table'!$J$44</definedName>
    <definedName name="DS_Met_HC_SACharts">'Eligibility Table'!$J$36</definedName>
    <definedName name="DS_Met_LatLong">'Eligibility Table'!$J$27</definedName>
    <definedName name="DS_Met_Loan_SAChart">'Eligibility Table'!$J$35</definedName>
    <definedName name="DS_Met_LocPoint">'Eligibility Table'!$J$26</definedName>
    <definedName name="DS_Met_MandDist">'Eligibility Table'!$J$30</definedName>
    <definedName name="DS_Met_Mgmt">'Eligibility Table'!$J$14</definedName>
    <definedName name="DS_Met_MgmtContact">'Eligibility Table'!$J$15</definedName>
    <definedName name="DS_Met_MgmtExp">'Eligibility Table'!$J$16</definedName>
    <definedName name="DS_Met_MinSA">'Eligibility Table'!$J$34</definedName>
    <definedName name="DS_Met_NoDeobs">'Eligibility Table'!$J$58</definedName>
    <definedName name="DS_Met_NoInvite">'Eligibility Table'!$J$57</definedName>
    <definedName name="DS_Met_NotClosed">'Eligibility Table'!$J$5</definedName>
    <definedName name="DS_Met_Occup">'Eligibility Table'!$J$33</definedName>
    <definedName name="DS_Met_PrincDisclosure">'Eligibility Table'!$J$13</definedName>
    <definedName name="DS_Met_PrincRep">'Eligibility Table'!$J$17</definedName>
    <definedName name="DS_Met_PropDevName">'Eligibility Table'!$J$18</definedName>
    <definedName name="DS_Met_Prox">'Eligibility Table'!$J$29</definedName>
    <definedName name="DS_Met_ResProg">'Eligibility Table'!$J$45</definedName>
    <definedName name="DS_Met_Scattered">'Eligibility Table'!$J$25</definedName>
    <definedName name="DS_Met_Sewer">'Eligibility Table'!$J$43</definedName>
    <definedName name="DS_Met_Site">'Eligibility Table'!$J$40</definedName>
    <definedName name="DS_Met_Submission">'Eligibility Table'!$J$4</definedName>
    <definedName name="DS_Met_Transit">'Eligibility Table'!$J$28</definedName>
    <definedName name="DS_Met_UnitCat">'Eligibility Table'!$J$32</definedName>
    <definedName name="DS_Met_UnitMix">'Eligibility Table'!$J$38</definedName>
    <definedName name="DS_Met_Units">'Eligibility Table'!$J$31</definedName>
    <definedName name="DS_Met_UnitTypes">'Eligibility Table'!$J$22</definedName>
    <definedName name="DS_Met_Water">'Eligibility Table'!$J$42</definedName>
    <definedName name="DS_Met_Zoning">'Eligibility Table'!$J$41</definedName>
    <definedName name="DS_Metro_QCT_Counties">Data2!$G$23:$G$748</definedName>
    <definedName name="DS_MetroQCTs_2022">Data2!$F$23:$G$748</definedName>
    <definedName name="DS_Min_ELI_AIT_Buy_NSS">Data1!$B$382</definedName>
    <definedName name="DS_Min_ELI_AIT_Buy_SS">Data1!$B$384</definedName>
    <definedName name="DS_Min_ELI_AIT_NSS">Data1!$B$381</definedName>
    <definedName name="DS_Min_ELI_AIT_SS">Data1!$B$383</definedName>
    <definedName name="DS_Min_ELI_NonAIT_Buy_NSS">Data1!$B$378</definedName>
    <definedName name="DS_Min_ELI_NonAIT_Buy_SS">Data1!$B$380</definedName>
    <definedName name="DS_Min_ELI_NonAIT_NSS">Data1!$B$377</definedName>
    <definedName name="DS_Min_ELI_NonAIT_SS">Data1!$B$379</definedName>
    <definedName name="DS_Min_Units">Data1!$F$316</definedName>
    <definedName name="DS_Min_Units_6Large">Data1!$B$323</definedName>
    <definedName name="DS_Min_Units_General_Large">Data1!$B$318</definedName>
    <definedName name="DS_Min_Units_General_Medium">Data1!$B$317</definedName>
    <definedName name="DS_Min_Units_General_Small">Data1!$B$316</definedName>
    <definedName name="DS_Min_Units_Keys">Data1!$B$319</definedName>
    <definedName name="DS_Min_Units_No_MiamiDade">Data1!$B$320</definedName>
    <definedName name="DS_Min_Units_Pinellas">Data1!$B$322</definedName>
    <definedName name="DS_Min_Units_So_MiamiDade">Data1!$B$321</definedName>
    <definedName name="DS_MinIRS_DataNames">Data1!$A$339:$A$342</definedName>
    <definedName name="DS_MinIRS_DDMenu">Data1!$F$338:$F$342</definedName>
    <definedName name="DS_MinIRS_Sequence">Data1!$C$339:$C$342</definedName>
    <definedName name="DS_Multiplier_1_Y">Data3!$F$201</definedName>
    <definedName name="DS_Multiplier_2_Y">Data3!$F$202</definedName>
    <definedName name="DS_Multiplier_3_Y">Data3!$F$203</definedName>
    <definedName name="DS_Multiplier_4_Y">Data3!$F$204</definedName>
    <definedName name="DS_Multiplier_5_Y">Data3!$F$205</definedName>
    <definedName name="DS_Multiplier_6_Y">Data3!$F$206</definedName>
    <definedName name="DS_Multiplier_7_Y">Data3!$F$207</definedName>
    <definedName name="DS_N_Keys_Multiplier">Data3!$G$206</definedName>
    <definedName name="DS_NHTF_PD">Data3!$C$106</definedName>
    <definedName name="DS_NHTF_PU">Data3!$C$107</definedName>
    <definedName name="DS_NonMetro_QCT_Counties">Data2!$J$23:$J$52</definedName>
    <definedName name="DS_NonMetroDDAs_2022">Data2!$D$23:$D$45</definedName>
    <definedName name="DS_NonMetroQCTs_2022">Data2!$I$23:$J$52</definedName>
    <definedName name="DS_Occ_DataNames">Data1!$A$334:$A$336</definedName>
    <definedName name="DS_Occ_DDMenu">Data1!$F$333:$F$336</definedName>
    <definedName name="DS_Occ_Sequence">Data1!$C$334:$C$336</definedName>
    <definedName name="DS_Operational_Contact_Full_Name">Data1!$F$143</definedName>
    <definedName name="DS_PDDDC_51_Multiplier">Data3!$G$203</definedName>
    <definedName name="DS_PDDDC_81_Multiplier">Data3!$G$204</definedName>
    <definedName name="DS_PFNCGAE">Data3!$G$180</definedName>
    <definedName name="DS_PFNCGAW">Data3!$G$181</definedName>
    <definedName name="DS_PFNCHRE">Data3!$G$182</definedName>
    <definedName name="DS_PFNCMRE">Data3!$G$183</definedName>
    <definedName name="DS_PFNCMRW">Data3!$G$184</definedName>
    <definedName name="DS_PFRCGA">Data3!$G$185</definedName>
    <definedName name="DS_PFRCNG">Data3!$G$186</definedName>
    <definedName name="DS_PHA_FED_ADDON">Data3!$G$199</definedName>
    <definedName name="DS_Priority_DataNames">Data1!$A$80:$A$81</definedName>
    <definedName name="DS_Priority_DDMenu">Data1!$F$79:$F$81</definedName>
    <definedName name="DS_Priority_Sequence">Data1!$C$80:$C$81</definedName>
    <definedName name="DS_ProAppSource_Name">Data3!$A$164:$A$175</definedName>
    <definedName name="DS_ProAppSource_Sequence">Data3!$G$164:$G$175</definedName>
    <definedName name="DS_ProAppSources_DDMenu">Data3!$J$163:$J$175</definedName>
    <definedName name="DS_Prox_List">Data2!$Z$23:$AC$141</definedName>
    <definedName name="DS_QualFin_DDMenu">Data1!$F$483:$F$489</definedName>
    <definedName name="DS_Qualifying_FAFP_Basis">Data1!$B$485</definedName>
    <definedName name="DS_Qualifying_FAFP_Basis_Code">Data1!$E$485</definedName>
    <definedName name="DS_Qualifying_FAFP_Percent">Data1!$B$484</definedName>
    <definedName name="DS_RA_Level">Data1!$F$164</definedName>
    <definedName name="DS_RA_Source_DataNames">Data1!$A$155:$A$161</definedName>
    <definedName name="DS_RA_Source_DDMenu">Data1!$F$154:$F$161</definedName>
    <definedName name="DS_RA_Source_Sequence">Data1!$C$155:$C$161</definedName>
    <definedName name="DS_Request_Maximum">Data1!$F$477</definedName>
    <definedName name="DS_Request_Minimum">Data1!$F$476</definedName>
    <definedName name="DS_S_Keys_Multiplier">Data3!$G$207</definedName>
    <definedName name="DS_SAIL_PD_Demo">Data3!$C$89</definedName>
    <definedName name="DS_SAIL_PD_Large">Data3!$C$85</definedName>
    <definedName name="DS_SAIL_PD_Min_MD">Data3!$C$87</definedName>
    <definedName name="DS_SAIL_PD_Pres">Data3!$C$88</definedName>
    <definedName name="DS_SAIL_PD_Sm_Med">Data3!$C$86</definedName>
    <definedName name="DS_SAIL_Percent_TDC_1">Data3!$C$96</definedName>
    <definedName name="DS_SAIL_Percent_TDC_2">Data3!$C$97</definedName>
    <definedName name="DS_SAIL_PU_NC">Data3!$C$90</definedName>
    <definedName name="DS_SAIL_PU_Not_SS">Data3!$C$93</definedName>
    <definedName name="DS_SAIL_PU_SR">Data3!$C$91</definedName>
    <definedName name="DS_SAIL_PU_SS">Data3!$C$92</definedName>
    <definedName name="DS_Select_One">Data1!$F$176</definedName>
    <definedName name="DS_Serv_DataNames">Data1!$A$539:$A$542</definedName>
    <definedName name="DS_Serv_DDMenu">Data1!$F$538:$F$542</definedName>
    <definedName name="DS_Serv_Sequence">Data1!$C$539:$C$542</definedName>
    <definedName name="DS_SFNCGAE">Data3!$G$187</definedName>
    <definedName name="DS_SFNCGAW">Data3!$G$188</definedName>
    <definedName name="DS_SFNCHRE">Data3!$G$189</definedName>
    <definedName name="DS_SFNCMRE">Data3!$G$190</definedName>
    <definedName name="DS_SFNCMRW">Data3!$G$191</definedName>
    <definedName name="DS_SFRCGA">Data3!$G$192</definedName>
    <definedName name="DS_SFRCNG">Data3!$G$193</definedName>
    <definedName name="DS_States_DataNames">Data1!$A$84:$A$134</definedName>
    <definedName name="DS_States_DDMenu">Data1!$F$83:$F$134</definedName>
    <definedName name="DS_States_Sequence">Data1!$C$84:$C$134</definedName>
    <definedName name="DS_TabHeader">Data1!$A$4</definedName>
    <definedName name="DS_TabLeftFooter">Data1!$A$7</definedName>
    <definedName name="DS_UnitTypeMatch">Data1!$C$174</definedName>
    <definedName name="DS_W_SAIL_PD">Data3!$C$83</definedName>
    <definedName name="DS_W_SAIL_PD_FLKeys">Data3!$C$80</definedName>
    <definedName name="DS_W_SAIL_PU">Data3!$C$84</definedName>
    <definedName name="DS_W_SAIL_PU_FLKeys_80Plus">Data3!$C$81</definedName>
    <definedName name="DS_W_SAIL_PU_FLKeys_No80Plus">Data3!$C$82</definedName>
    <definedName name="DS_ZCTAs_2022">Data2!$A$23:$B$370</definedName>
    <definedName name="eighty_AMI_Avg_Income_Units">'Units, Set-Asides, Bldgs'!$F$44</definedName>
    <definedName name="ELI_Request_Amount">Funding!$I$42</definedName>
    <definedName name="Elig_Bonds">'Eligibility Table'!$L$54</definedName>
    <definedName name="Elig_CompHC">'Eligibility Table'!$L$52</definedName>
    <definedName name="Elig_ELI">'Eligibility Table'!$L$49</definedName>
    <definedName name="Elig_Grant">'Eligibility Table'!$L$51</definedName>
    <definedName name="Elig_HOME">'Eligibility Table'!$L$50</definedName>
    <definedName name="Elig_NonCompHC">'Eligibility Table'!$L$53</definedName>
    <definedName name="Elig_ProForma">'Eligibility Table'!$L$55</definedName>
    <definedName name="Elig_SAIL">'Eligibility Table'!$L$47</definedName>
    <definedName name="Elig_SAIL_MD">'Eligibility Table'!$L$48</definedName>
    <definedName name="Elig_TDCPULimit">'Eligibility Table'!$L$59</definedName>
    <definedName name="Elig_Workforce">'Eligibility Table'!$L$46</definedName>
    <definedName name="eminentdomain">'HOME URA'!$F$30</definedName>
    <definedName name="ESS_Constr_Pref">'Proposed Development Info'!$C$65</definedName>
    <definedName name="Excel_RFA_Number">Data1!$F$7</definedName>
    <definedName name="ExcelCheckbox_After_School">Data1!$B$462</definedName>
    <definedName name="ExcelCheckBox_AtLeast80">Data1!$B$26</definedName>
    <definedName name="ExcelCheckbox_cabinets">Data1!$B$445</definedName>
    <definedName name="ExcelCheckbox_Computer_Training">Data1!$B$470</definedName>
    <definedName name="ExcelCheckbox_Coordination_Exp_3rd_party">Data1!$B$457</definedName>
    <definedName name="ExcelCheckbox_Daily_Activities">Data1!$B$471</definedName>
    <definedName name="ExcelCheckBox_DC_Impaired">Data1!$B$28</definedName>
    <definedName name="ExcelCheckBox_DC_Not_Impaired">Data1!$B$30</definedName>
    <definedName name="ExcelCheckbox_dual_flush">Data1!$B$441</definedName>
    <definedName name="ExcelCheckbox_Employment_Assistance_general">Data1!$B$464</definedName>
    <definedName name="ExcelCheckbox_ES_roof_coating">Data1!$B$443</definedName>
    <definedName name="ExcelCheckbox_ES_roof_materials">Data1!$B$444</definedName>
    <definedName name="ExcelCheckbox_ExpApplicant">Data1!$B$458</definedName>
    <definedName name="ExcelCheckbox_Family_Support_Coordinator">Data1!$B$465</definedName>
    <definedName name="ExcelCheckbox_Financial_Counseling">Data1!$B$466</definedName>
    <definedName name="ExcelCheckbox_flooring">Data1!$B$446</definedName>
    <definedName name="ExcelCheckbox_Homeownership_seminar">Data1!$B$467</definedName>
    <definedName name="ExcelCheckbox_Housekeeping">Data1!$B$472</definedName>
    <definedName name="ExcelCheckbox_Humidistat">Data1!$B$440</definedName>
    <definedName name="ExcelCheckBox_LessThan80">Data1!$B$25</definedName>
    <definedName name="ExcelCheckbox_light_pavement">Data1!$B$442</definedName>
    <definedName name="ExcelCheckbox_Literacy_Elderly">Data1!$B$469</definedName>
    <definedName name="ExcelCheckbox_Literacy_Family">Data1!$B$463</definedName>
    <definedName name="ExcelCheckBox_RD515">Data1!$B$480</definedName>
    <definedName name="ExcelCheckBox_RD538">Data1!$B$481</definedName>
    <definedName name="ExcelCheckbox_Resident_checkin">Data1!$B$473</definedName>
    <definedName name="ExcelCheckbox_SEER_for_AC">Data1!$B$447</definedName>
    <definedName name="ExcelCheckbox_sensors">Data1!$B$454</definedName>
    <definedName name="ExcelCheckBox_SSI">Data1!$B$29</definedName>
    <definedName name="ExcelCheckBox_Survivors">Data1!$B$32</definedName>
    <definedName name="ExcelCheckbox_thermostat">Data1!$B$439</definedName>
    <definedName name="ExcelCheckbox_windows">Data1!$B$448</definedName>
    <definedName name="ExcelCheckbox_Yards">Data1!$B$453</definedName>
    <definedName name="ExcelCheckBox_YouthAgingOut">Data1!$B$31</definedName>
    <definedName name="expected_PIS_date">'Proposed Development Info'!$H$66</definedName>
    <definedName name="Fee_Pmt_Information">'B. Other Information'!$A$8</definedName>
    <definedName name="FHFC_Source_1_Adj_Rqst_Amt">Data2!$I$5</definedName>
    <definedName name="FHFC_Source_2_Adj_Rqst_Amt">Data2!$I$6</definedName>
    <definedName name="FHFC_Source_3_Adj_Rqst_Amt">Data2!$I$7</definedName>
    <definedName name="FHFC_Source_4_Adj_Rqst_Amt">Data2!$I$8</definedName>
    <definedName name="fifty_AMI_Avg_Income_Units">'Units, Set-Asides, Bldgs'!$F$41</definedName>
    <definedName name="fifty_AMI_HC">'Units, Set-Asides, Bldgs'!$G$28</definedName>
    <definedName name="Financial_bridge_commitment_eligible">'Pro Forma'!$H$167</definedName>
    <definedName name="Financial_bridge_commitment_ineligible">'Pro Forma'!$K$167</definedName>
    <definedName name="Financial_bridge_commitment_total">'Pro Forma'!$N$167</definedName>
    <definedName name="Financial_bridge_interest_eligible">'Pro Forma'!$H$169</definedName>
    <definedName name="Financial_bridge_interest_ineligible">'Pro Forma'!$K$169</definedName>
    <definedName name="Financial_bridge_interest_total">'Pro Forma'!$N$169</definedName>
    <definedName name="Financial_constr_commitment_eligible">'Pro Forma'!$H$148</definedName>
    <definedName name="Financial_constr_commitment_ineligible">'Pro Forma'!$K$148</definedName>
    <definedName name="Financial_constr_commitment_total">'Pro Forma'!$N$148</definedName>
    <definedName name="Financial_constr_enhancement_eligible">'Pro Forma'!$H$151</definedName>
    <definedName name="Financial_constr_enhancement_ineligible">'Pro Forma'!$K$151</definedName>
    <definedName name="Financial_constr_enhancement_total">'Pro Forma'!$N$151</definedName>
    <definedName name="Financial_constr_interest_eligible">'Pro Forma'!$H$153</definedName>
    <definedName name="Financial_constr_interest_ineligible">'Pro Forma'!$K$153</definedName>
    <definedName name="Financial_constr_interest_total">'Pro Forma'!$N$153</definedName>
    <definedName name="Financial_nonperm_closing_eligible">'Pro Forma'!$H$156</definedName>
    <definedName name="Financial_nonperm_closing_ineligible">'Pro Forma'!$K$156</definedName>
    <definedName name="Financial_nonperm_closing_total">'Pro Forma'!$N$156</definedName>
    <definedName name="Financial_other_eligible">'Pro Forma'!$H$171</definedName>
    <definedName name="Financial_other_ineligible">'Pro Forma'!$K$171</definedName>
    <definedName name="Financial_other_total">'Pro Forma'!$N$171</definedName>
    <definedName name="Financial_perm_closing_ineligible">'Pro Forma'!$K$164</definedName>
    <definedName name="Financial_perm_closing_total">'Pro Forma'!$N$164</definedName>
    <definedName name="Financial_perm_commitment_ineligible">'Pro Forma'!$K$159</definedName>
    <definedName name="Financial_perm_commitment_total">'Pro Forma'!$N$159</definedName>
    <definedName name="Financial_perm_enhancement_ineligible">'Pro Forma'!$K$162</definedName>
    <definedName name="Financial_perm_enhancement_total">'Pro Forma'!$N$162</definedName>
    <definedName name="Financial_total_eligible">'Pro Forma'!$H$173</definedName>
    <definedName name="Financial_total_ineligible">'Pro Forma'!$K$173</definedName>
    <definedName name="Financial_totalcosts_total">'Pro Forma'!$N$173</definedName>
    <definedName name="FLKeys_N_S">'Development Location'!$H$5</definedName>
    <definedName name="FO_TDC_PU_Limit">'Pro Forma'!$L$393</definedName>
    <definedName name="forty_AMI_Avg_Income_Units">'Units, Set-Asides, Bldgs'!$F$40</definedName>
    <definedName name="forty_AMI_HC">'Units, Set-Asides, Bldgs'!$G$26</definedName>
    <definedName name="fortyfive_AMI_HC">'Units, Set-Asides, Bldgs'!$G$27</definedName>
    <definedName name="Four_Bed_Four_Bath_ELI_Units">'Units, Set-Asides, Bldgs'!$J$110</definedName>
    <definedName name="Four_Bed_Four_Bath_Total_Units">'Units, Set-Asides, Bldgs'!$H$110</definedName>
    <definedName name="Four_Bed_One_and_half_Bath_ELI_Units">'Units, Set-Asides, Bldgs'!$J$105</definedName>
    <definedName name="Four_Bed_One_and_half_Bath_Total_Units">'Units, Set-Asides, Bldgs'!$H$105</definedName>
    <definedName name="Four_Bed_One_Bath_ELI_Units">'Units, Set-Asides, Bldgs'!$J$104</definedName>
    <definedName name="Four_Bed_One_Bath_Total_Units">'Units, Set-Asides, Bldgs'!$H$104</definedName>
    <definedName name="Four_Bed_Three_and_half_Bath_ELI_Units">'Units, Set-Asides, Bldgs'!$J$109</definedName>
    <definedName name="Four_Bed_Three_and_half_Bath_Total_Units">'Units, Set-Asides, Bldgs'!$H$109</definedName>
    <definedName name="Four_Bed_Three_Bath_ELI_Units">'Units, Set-Asides, Bldgs'!$J$108</definedName>
    <definedName name="Four_Bed_Three_Bath_Total_Units">'Units, Set-Asides, Bldgs'!$H$108</definedName>
    <definedName name="Four_Bed_Two_and_half_Bath_ELI_Units">'Units, Set-Asides, Bldgs'!$J$107</definedName>
    <definedName name="Four_Bed_Two_and_half_Bath_Total_Units">'Units, Set-Asides, Bldgs'!$H$107</definedName>
    <definedName name="Four_Bed_Two_Bath_ELI_Units">'Units, Set-Asides, Bldgs'!$J$106</definedName>
    <definedName name="Four_Bed_Two_Bath_Total_Units">'Units, Set-Asides, Bldgs'!$H$106</definedName>
    <definedName name="GAO_Number1">Funding!$E$162</definedName>
    <definedName name="GAO_Number2">Funding!$E$163</definedName>
    <definedName name="GAO_Number3">Funding!$E$164</definedName>
    <definedName name="Garden_ESS_NC_units">'Proposed Development Info'!$H$72</definedName>
    <definedName name="Garden_ESS_Rehab_units">'Proposed Development Info'!$H$81</definedName>
    <definedName name="Garden_non_ESS_NC_units">'Proposed Development Info'!$H$73</definedName>
    <definedName name="Garden_non_ESS_Rehab_units">'Proposed Development Info'!$H$82</definedName>
    <definedName name="GCF_DollarMax">'Pro Forma'!$F$69</definedName>
    <definedName name="GCFee_DollarMax">'Pro Forma'!$V$67</definedName>
    <definedName name="GCFee_Pass">'Pro Forma'!$Q$68</definedName>
    <definedName name="GCFee_PercentMax">'Pro Forma'!$Q$67</definedName>
    <definedName name="General_Accounting_eligible">'Pro Forma'!$H$81</definedName>
    <definedName name="General_Accounting_ineligible">'Pro Forma'!$K$81</definedName>
    <definedName name="General_Accounting_total">'Pro Forma'!$N$81</definedName>
    <definedName name="General_adminfee_ineligible">'Pro Forma'!$K$99</definedName>
    <definedName name="General_adminfee_total">'Pro Forma'!$N$99</definedName>
    <definedName name="General_applicationfee_ineligible">'Pro Forma'!$K$101</definedName>
    <definedName name="General_applicationfee_total">'Pro Forma'!$N$101</definedName>
    <definedName name="General_Appraisal_eligible">'Pro Forma'!$H$83</definedName>
    <definedName name="General_Appraisal_ineligible">'Pro Forma'!$K$83</definedName>
    <definedName name="General_Appraisal_total">'Pro Forma'!$N$83</definedName>
    <definedName name="General_Architectfeedesign_eligible">'Pro Forma'!$H$85</definedName>
    <definedName name="General_Architectfeedesign_ineligible">'Pro Forma'!$K$85</definedName>
    <definedName name="General_Architectfeedesign_total">'Pro Forma'!$N$85</definedName>
    <definedName name="General_Architectfeesupervision_eligible">'Pro Forma'!$H$87</definedName>
    <definedName name="General_Architectfeesupervision_ineligible">'Pro Forma'!$K$87</definedName>
    <definedName name="General_Architectfeesupervision_total">'Pro Forma'!$N$87</definedName>
    <definedName name="General_builder_ins_eligible">'Pro Forma'!$H$89</definedName>
    <definedName name="General_builder_ins_ineligible">'Pro Forma'!$K$89</definedName>
    <definedName name="General_builder_ins_total">'Pro Forma'!$N$89</definedName>
    <definedName name="General_capitalneeds_eligible">'Pro Forma'!$H$93</definedName>
    <definedName name="General_capitalneeds_ineligible">'Pro Forma'!$K$93</definedName>
    <definedName name="General_capitalneeds_total">'Pro Forma'!$N$93</definedName>
    <definedName name="General_compliancefee_ineligible">'Pro Forma'!$K$103</definedName>
    <definedName name="General_compliancefee_total">'Pro Forma'!$N$103</definedName>
    <definedName name="General_cu_fee_eligible">'Pro Forma'!$H$105</definedName>
    <definedName name="General_cu_fee_ineligible">'Pro Forma'!$K$105</definedName>
    <definedName name="General_cu_fee_total">'Pro Forma'!$N$105</definedName>
    <definedName name="General_engineering_eligible">'Pro Forma'!$H$95</definedName>
    <definedName name="General_engineering_ineligible">'Pro Forma'!$K$95</definedName>
    <definedName name="General_engineering_total">'Pro Forma'!$N$95</definedName>
    <definedName name="General_environmental_eligible">'Pro Forma'!$H$97</definedName>
    <definedName name="General_environmental_ineligible">'Pro Forma'!$K$97</definedName>
    <definedName name="General_environmental_total">'Pro Forma'!$N$97</definedName>
    <definedName name="General_HERS_eligible">'Pro Forma'!$H$108</definedName>
    <definedName name="General_HERS_ineligible">'Pro Forma'!$K$108</definedName>
    <definedName name="General_HERS_total">'Pro Forma'!$N$108</definedName>
    <definedName name="General_Impact_eligible">'Pro Forma'!$H$110</definedName>
    <definedName name="General_Impact_ineligible">'Pro Forma'!$K$110</definedName>
    <definedName name="General_Impact_total">'Pro Forma'!$N$110</definedName>
    <definedName name="General_inspectionfee_eligible">'Pro Forma'!$H$112</definedName>
    <definedName name="General_inspectionfee_ineligible">'Pro Forma'!$K$112</definedName>
    <definedName name="General_inspectionfee_total">'Pro Forma'!$N$112</definedName>
    <definedName name="General_insurance_eligible">'Pro Forma'!$H$114</definedName>
    <definedName name="General_insurance_ineligible">'Pro Forma'!$K$114</definedName>
    <definedName name="General_insurance_total">'Pro Forma'!$N$114</definedName>
    <definedName name="General_legalfee_eligible">'Pro Forma'!$H$116</definedName>
    <definedName name="General_legalfee_ineligible">'Pro Forma'!$K$116</definedName>
    <definedName name="General_legalfee_total">'Pro Forma'!$N$116</definedName>
    <definedName name="General_marketing_ineligible">'Pro Forma'!$K$120</definedName>
    <definedName name="General_marketing_total">'Pro Forma'!$N$120</definedName>
    <definedName name="General_marketstudy_eligible">'Pro Forma'!$H$118</definedName>
    <definedName name="General_marketstudy_ineligible">'Pro Forma'!$K$118</definedName>
    <definedName name="General_marketstudy_total">'Pro Forma'!$N$118</definedName>
    <definedName name="General_other_eligible">'Pro Forma'!$H$134</definedName>
    <definedName name="General_other_ineligible">'Pro Forma'!$K$134</definedName>
    <definedName name="General_other_total">'Pro Forma'!$N$134</definedName>
    <definedName name="General_permit_eligible">'Pro Forma'!$H$91</definedName>
    <definedName name="General_permit_ineligible">'Pro Forma'!$K$91</definedName>
    <definedName name="General_permit_total">'Pro Forma'!$N$91</definedName>
    <definedName name="General_propertytaxes_eligible">'Pro Forma'!$H$122</definedName>
    <definedName name="General_propertytaxes_ineligible">'Pro Forma'!$K$122</definedName>
    <definedName name="General_propertytaxes_total">'Pro Forma'!$N$122</definedName>
    <definedName name="General_relocation_eligible">'Pro Forma'!$H$128</definedName>
    <definedName name="General_relocation_ineligible">'Pro Forma'!$K$128</definedName>
    <definedName name="General_relocation_total">'Pro Forma'!$N$128</definedName>
    <definedName name="General_soiltest_eligible">'Pro Forma'!$H$124</definedName>
    <definedName name="General_soiltest_ineligible">'Pro Forma'!$K$124</definedName>
    <definedName name="General_soiltest_total">'Pro Forma'!$N$124</definedName>
    <definedName name="General_survey_eligible">'Pro Forma'!$H$126</definedName>
    <definedName name="General_survey_ineligible">'Pro Forma'!$K$126</definedName>
    <definedName name="General_survey_total">'Pro Forma'!$N$126</definedName>
    <definedName name="General_titleinsurance_eligible">'Pro Forma'!$H$130</definedName>
    <definedName name="General_titleinsurance_ineligible">'Pro Forma'!$K$130</definedName>
    <definedName name="General_titleinsurance_total">'Pro Forma'!$N$130</definedName>
    <definedName name="General_totaldevelopmentcost_eligible">'Pro Forma'!$H$137</definedName>
    <definedName name="General_totaldevelopmentcost_ineligible">'Pro Forma'!$K$137</definedName>
    <definedName name="General_totaldevelopmentcost_total">'Pro Forma'!$N$137</definedName>
    <definedName name="General_utilityconnection_eligible">'Pro Forma'!$H$132</definedName>
    <definedName name="General_utilityconnection_ineligible">'Pro Forma'!$K$132</definedName>
    <definedName name="General_utilityconnection_total">'Pro Forma'!$N$132</definedName>
    <definedName name="Geo_Area_of_Opp_boost">Funding!$E$160</definedName>
    <definedName name="govt_app">'HOME URA'!$F$27</definedName>
    <definedName name="Grant_Request_Amount">Funding!$I$78</definedName>
    <definedName name="Greatest_distance_for_PBS">Data1!$B$306</definedName>
    <definedName name="Green_cert">'Construction Features'!$C$12</definedName>
    <definedName name="Green_total_points">'Construction Features'!$H$31</definedName>
    <definedName name="Grocery_Address">'Proximity, Mand.Dist., RECAP'!$G$43</definedName>
    <definedName name="Grocery_Distance">'Proximity, Mand.Dist., RECAP'!$H$43</definedName>
    <definedName name="Grocery_Name">'Proximity, Mand.Dist., RECAP'!$F$43</definedName>
    <definedName name="Grocery_points">'Proximity, Mand.Dist., RECAP'!$I$43</definedName>
    <definedName name="HardCC_DollarMax">'Pro Forma'!$V$72</definedName>
    <definedName name="HardCC_Pass">'Pro Forma'!$Q$73</definedName>
    <definedName name="HardCC_PercentMax">'Pro Forma'!$Q$72</definedName>
    <definedName name="HCC_DollarMax">'Pro Forma'!$F$74</definedName>
    <definedName name="HOME_Request_Amount">Funding!$I$59</definedName>
    <definedName name="HR_ESS_NC_units">'Proposed Development Info'!$H$76</definedName>
    <definedName name="Land_ineligible">'Pro Forma'!$K$199</definedName>
    <definedName name="Land_total">'Pro Forma'!$N$199</definedName>
    <definedName name="LG_Name1">'Local Gov''t Contributions'!$B$26</definedName>
    <definedName name="LG_Name1_Cash_Grant">'Local Gov''t Contributions'!$I$26</definedName>
    <definedName name="LG_Name1_Cash_Loan">'Local Gov''t Contributions'!$H$26</definedName>
    <definedName name="LG_Name2">'Local Gov''t Contributions'!$B$27</definedName>
    <definedName name="LG_Name2_Cash_Grant">'Local Gov''t Contributions'!$I$27</definedName>
    <definedName name="LG_Name2_Cash_Loan">'Local Gov''t Contributions'!$H$27</definedName>
    <definedName name="LG_Name3">'Local Gov''t Contributions'!$B$28</definedName>
    <definedName name="LG_Name3_Cash_Grant">'Local Gov''t Contributions'!$I$28</definedName>
    <definedName name="LG_Name3_Cash_Loan">'Local Gov''t Contributions'!$H$28</definedName>
    <definedName name="LG_Name4">'Local Gov''t Contributions'!$B$29</definedName>
    <definedName name="LG_Name4_Cash_Grant">'Local Gov''t Contributions'!$I$29</definedName>
    <definedName name="LG_Name4_Cash_Loan">'Local Gov''t Contributions'!$H$29</definedName>
    <definedName name="LGAO_Number">Funding!$E$169</definedName>
    <definedName name="LGC_FD_Face">'Local Gov''t Contributions'!$G$13</definedName>
    <definedName name="LGC_FD_NPV">'Local Gov''t Contributions'!$H$13</definedName>
    <definedName name="LGC_FW_Face">'Local Gov''t Contributions'!$G$12</definedName>
    <definedName name="LGC_Grant_Face">'Local Gov''t Contributions'!$G$11</definedName>
    <definedName name="LGC_Loan_Face">'Local Gov''t Contributions'!$G$10</definedName>
    <definedName name="LGC_Loan_NPV">'Local Gov''t Contributions'!$H$10</definedName>
    <definedName name="Local_govt_contribution">'Local Gov''t Contributions'!$J$3</definedName>
    <definedName name="Mand_distance">'Proximity, Mand.Dist., RECAP'!$B$52</definedName>
    <definedName name="Market_Avg_Income_Units">'Units, Set-Asides, Bldgs'!$F$45</definedName>
    <definedName name="Max_ARP">Funding!$H$70</definedName>
    <definedName name="Max_Competitive_HC">Funding!$H$123</definedName>
    <definedName name="Max_ELI">Funding!$H$40</definedName>
    <definedName name="Max_Grant">Funding!$H$76</definedName>
    <definedName name="Max_HOME">Funding!$H$57</definedName>
    <definedName name="Max_NHTF">Funding!$H$91</definedName>
    <definedName name="Max_SAIL">Funding!$H$32</definedName>
    <definedName name="Max_TBD">Funding!$H$102</definedName>
    <definedName name="Max_Workforce">Funding!$H$13</definedName>
    <definedName name="MD_N_S">'Development Location'!$H$7</definedName>
    <definedName name="Medical_Address">'Proximity, Mand.Dist., RECAP'!$G$44</definedName>
    <definedName name="Medical_Distance">'Proximity, Mand.Dist., RECAP'!$H$44</definedName>
    <definedName name="Medical_Name">'Proximity, Mand.Dist., RECAP'!$F$44</definedName>
    <definedName name="Medical_points">'Proximity, Mand.Dist., RECAP'!$I$44</definedName>
    <definedName name="Met_Bonds">'Eligibility Table'!$J$54</definedName>
    <definedName name="Met_CompHC">'Eligibility Table'!$J$52</definedName>
    <definedName name="Met_ELI">'Eligibility Table'!$J$49</definedName>
    <definedName name="Met_Grant">'Eligibility Table'!$J$51</definedName>
    <definedName name="Met_HOME">'Eligibility Table'!$J$50</definedName>
    <definedName name="Met_NonCompHC">'Eligibility Table'!$J$53</definedName>
    <definedName name="Met_ProForma">'Eligibility Table'!$J$55</definedName>
    <definedName name="Met_SAIL">'Eligibility Table'!$J$47</definedName>
    <definedName name="Met_SAIL_MD">'Eligibility Table'!$J$48</definedName>
    <definedName name="Met_TDCPPULimit">'Eligibility Table'!$J$59</definedName>
    <definedName name="Met_Workforce">'Eligibility Table'!$J$46</definedName>
    <definedName name="Mgmt_Co_Address">'General Information'!$F$110</definedName>
    <definedName name="Mgmt_Co_City">'General Information'!$F$111</definedName>
    <definedName name="Mgmt_Co_Email">'General Information'!$F$115</definedName>
    <definedName name="Mgmt_Co_Exp_first_currently_or_formerly_managed">'General Information'!$F$124</definedName>
    <definedName name="Mgmt_Co_Exp_first_Dev_name">'General Information'!$F$121</definedName>
    <definedName name="Mgmt_Co_Exp_first_location">'General Information'!$F$122</definedName>
    <definedName name="Mgmt_Co_Exp_first_time">'General Information'!$F$125</definedName>
    <definedName name="Mgmt_Co_Exp_first_units">'General Information'!$F$126</definedName>
    <definedName name="Mgmt_Co_Exp_secnod_currently_or_formerly_managed">'General Information'!$F$132</definedName>
    <definedName name="Mgmt_Co_Exp_second_Dev_name">'General Information'!$F$129</definedName>
    <definedName name="Mgmt_Co_Exp_second_location">'General Information'!$F$130</definedName>
    <definedName name="Mgmt_Co_Exp_second_time">'General Information'!$F$133</definedName>
    <definedName name="Mgmt_Co_Exp_second_units">'General Information'!$F$134</definedName>
    <definedName name="Mgmt_Co_Experienced_entity">'General Information'!$G$118</definedName>
    <definedName name="Mgmt_Co_Phone">'General Information'!$F$114</definedName>
    <definedName name="Mgmt_Co_Phone_ext">'General Information'!$H$114</definedName>
    <definedName name="Mgmt_Co_State">'General Information'!$F$112</definedName>
    <definedName name="Mgmt_Co_Zip_Code">'General Information'!$F$113</definedName>
    <definedName name="Mgmt_InputReq">'General Information'!$K$109:$K$115</definedName>
    <definedName name="Mgmt_InputTracking">'General Information'!$L$109:$L$115</definedName>
    <definedName name="Minimum_ELI">Data1!$G$372</definedName>
    <definedName name="Minimum_SetAside_per_Sec_42">'Units, Set-Asides, Bldgs'!$C$13</definedName>
    <definedName name="MMRB_Request_Amount">Funding!$I$185</definedName>
    <definedName name="MR_and_HR_ESS_Rehab_units">'Proposed Development Info'!$H$83</definedName>
    <definedName name="MR_and_HR_non_ESS_Rehab_units">'Proposed Development Info'!$H$84</definedName>
    <definedName name="MR_ESS_NC_units">'Proposed Development Info'!$H$74</definedName>
    <definedName name="MR_Non_ESS_NC_units">'Proposed Development Info'!$H$75</definedName>
    <definedName name="Multiphase_firstphase">Funding!$E$130</definedName>
    <definedName name="Multiphase_subsequent">Funding!$E$134</definedName>
    <definedName name="Name_Of_Applicant">'General Information'!$F$28</definedName>
    <definedName name="Name_Of_Developer_1">'General Information'!$D$53</definedName>
    <definedName name="Name_Of_Developer_2">'General Information'!$D$54</definedName>
    <definedName name="Name_Of_Developer_3">'General Information'!$D$55</definedName>
    <definedName name="Name_of_Mgmt_Co">'General Information'!$F$109</definedName>
    <definedName name="Name_of_proposed_Development">'Proposed Development Info'!$G$3</definedName>
    <definedName name="NHTF_Indicator">Funding!$I$80</definedName>
    <definedName name="NHTF_Request_Amount">Funding!$I$93</definedName>
    <definedName name="Non_Competitive_HC_Request_Amount">Funding!$I$127</definedName>
    <definedName name="NonAIT_HC_SA_Percent">'Units, Set-Asides, Bldgs'!$G$32</definedName>
    <definedName name="NonProfit_Applicant">'General Information'!$D$36</definedName>
    <definedName name="number_of_PBS">Data1!$B$305</definedName>
    <definedName name="occupancy_status">'Units, Set-Asides, Bldgs'!$C$6</definedName>
    <definedName name="Occupancy_status_URA">'HOME URA'!$E$3</definedName>
    <definedName name="Occupied_units">'HOME URA'!$E$8</definedName>
    <definedName name="ODR_eligible">'Pro Forma'!$H$197</definedName>
    <definedName name="ODR_ineligible">'Pro Forma'!$K$197</definedName>
    <definedName name="ODR_total">'Pro Forma'!$N$197</definedName>
    <definedName name="One_Bed_One_Bath_ELI_Units">'Units, Set-Asides, Bldgs'!$J$95</definedName>
    <definedName name="One_Bed_One_Bath_Total_Units">'Units, Set-Asides, Bldgs'!$H$95</definedName>
    <definedName name="Operational_Contact_Address">'General Information'!$F$156</definedName>
    <definedName name="Operational_Contact_City">'General Information'!$F$157</definedName>
    <definedName name="Operational_Contact_EMail">'General Information'!$F$161</definedName>
    <definedName name="Operational_Contact_First_Name">'General Information'!$F$153</definedName>
    <definedName name="Operational_Contact_Last_Name">'General Information'!$F$154</definedName>
    <definedName name="Operational_Contact_Middle_Initial">'General Information'!$H$153</definedName>
    <definedName name="Operational_Contact_Phone">'General Information'!$F$160</definedName>
    <definedName name="Operational_Contact_Phone_Ext">'General Information'!$H$160</definedName>
    <definedName name="Operational_Contact_State">'General Information'!$F$158</definedName>
    <definedName name="Operational_Contact_Zip_Code">'General Information'!$F$159</definedName>
    <definedName name="Optional_CF">Data1!$H$506</definedName>
    <definedName name="Optional_DL">Data1!$H$502</definedName>
    <definedName name="Optional_Fund">Data1!$H$509</definedName>
    <definedName name="Optional_GI">Data1!$H$500</definedName>
    <definedName name="Optional_HOME">Data1!$H$513</definedName>
    <definedName name="Optional_PDI">Data1!$H$501</definedName>
    <definedName name="Optional_Prox">Data1!$H$503</definedName>
    <definedName name="Optional_RP">Data1!$H$508</definedName>
    <definedName name="Optional_Serv">Data1!$H$507</definedName>
    <definedName name="Optional_USAB">Data1!$H$504</definedName>
    <definedName name="Other_eligible">'Pro Forma'!$H$179</definedName>
    <definedName name="Other_ESS_NC_units">'Proposed Development Info'!$H$79</definedName>
    <definedName name="Other_ESS_Rehab_units">'Proposed Development Info'!$H$85</definedName>
    <definedName name="Other_Federal_assistance_units">'Proposed Development Info'!$F$47</definedName>
    <definedName name="Other_ineligible">'Pro Forma'!$K$179</definedName>
    <definedName name="Other_Non_ESS_NC_units">'Proposed Development Info'!$H$80</definedName>
    <definedName name="Other_non_ESS_Rehab_units">'Proposed Development Info'!$H$86</definedName>
    <definedName name="Other_total">'Pro Forma'!$N$179</definedName>
    <definedName name="own_site">'HOME URA'!$F$19</definedName>
    <definedName name="Owner_operator_Exp_first_Dev_location">Services!$E$16</definedName>
    <definedName name="Owner_operator_Exp_first_Dev_name">Services!$E$15</definedName>
    <definedName name="Owner_operator_Exp_first_Dev_units">Services!$E$17</definedName>
    <definedName name="Owner_operator_Exp_fourth_Dev_location">Services!$E$34</definedName>
    <definedName name="Owner_operator_Exp_fourth_Dev_name">Services!$E$33</definedName>
    <definedName name="Owner_operator_Exp_fourth_Dev_units">Services!$E$35</definedName>
    <definedName name="Owner_operator_Exp_second_Dev_location">Services!$E$22</definedName>
    <definedName name="Owner_operator_Exp_second_Dev_name">Services!$E$21</definedName>
    <definedName name="Owner_operator_Exp_second_Dev_units">Services!$E$23</definedName>
    <definedName name="Owner_operator_Exp_third_Dev_location">Services!$E$28</definedName>
    <definedName name="Owner_operator_Exp_third_Dev_name">Services!$E$27</definedName>
    <definedName name="Owner_operator_Exp_third_Dev_units">Services!$E$29</definedName>
    <definedName name="Owner_operator_Exp_total_Dev_units">Services!$F$39</definedName>
    <definedName name="PBRA_units">'Proposed Development Info'!$F$45</definedName>
    <definedName name="pct_units_in_setaside_chart">'Units, Set-Asides, Bldgs'!$G$33</definedName>
    <definedName name="Percent_Credits_Purchased">'Pro Forma'!$L$457</definedName>
    <definedName name="perm_relocated_units">'HOME URA'!$F$11</definedName>
    <definedName name="perm_relocation">'HOME URA'!$H$9</definedName>
    <definedName name="PermAnalysis__1st_Mtg">'Pro Forma'!$H$318</definedName>
    <definedName name="PermAnalysis__1st_Type">'Pro Forma'!$K$318</definedName>
    <definedName name="PermAnalysis__2nd_Mtg">'Pro Forma'!$H$320</definedName>
    <definedName name="PermAnalysis__2nd_Type">'Pro Forma'!$K$320</definedName>
    <definedName name="PermAnalysis__3rd_Mtg">'Pro Forma'!$H$322</definedName>
    <definedName name="PermAnalysis__3rd_Type">'Pro Forma'!$K$322</definedName>
    <definedName name="PermAnalysis__4th_Mtg">'Pro Forma'!$H$324</definedName>
    <definedName name="PermAnalysis__4th_Type">'Pro Forma'!$K$324</definedName>
    <definedName name="PermAnalysis__5th_Mtg">'Pro Forma'!$H$326</definedName>
    <definedName name="PermAnalysis__5th_Type">'Pro Forma'!$K$326</definedName>
    <definedName name="PermAnalysis__6th_Mtg">'Pro Forma'!$H$328</definedName>
    <definedName name="PermAnalysis__6th_Type">'Pro Forma'!$K$328</definedName>
    <definedName name="PermAnalysis__7th_Mtg">'Pro Forma'!$H$330</definedName>
    <definedName name="PermAnalysis__7th_Type">'Pro Forma'!$K$330</definedName>
    <definedName name="PermAnalysis__8th_Mtg">'Pro Forma'!$H$332</definedName>
    <definedName name="PermAnalysis__8th_Type">'Pro Forma'!$K$332</definedName>
    <definedName name="PermAnalysis__9th_Mtg">'Pro Forma'!$H$334</definedName>
    <definedName name="PermAnalysis__9th_Type">'Pro Forma'!$K$334</definedName>
    <definedName name="PermAnalysis_10th_Mtg">'Pro Forma'!$H$336</definedName>
    <definedName name="PermAnalysis_10th_Type">'Pro Forma'!$K$336</definedName>
    <definedName name="PermAnalysis_deferredfee">'Pro Forma'!$H$344</definedName>
    <definedName name="PermAnalysis_HC">'Pro Forma'!$H$338</definedName>
    <definedName name="PermAnalysis_Other_1_Type">'Pro Forma'!$K$340</definedName>
    <definedName name="PermAnalysis_Other_2_Type">'Pro Forma'!$K$342</definedName>
    <definedName name="PermAnalysis_other1">'Pro Forma'!$H$340</definedName>
    <definedName name="PermAnalysis_other1_title">'Pro Forma'!$E$340</definedName>
    <definedName name="PermAnalysis_other2">'Pro Forma'!$H$342</definedName>
    <definedName name="PermAnalysis_other2_title">'Pro Forma'!$E$342</definedName>
    <definedName name="PermAnalysis_surplus">'Pro Forma'!$H$350</definedName>
    <definedName name="PermAnalysis_totalsources">'Pro Forma'!$H$346</definedName>
    <definedName name="PerUnitConstFundingPref">Funding!$I$234</definedName>
    <definedName name="PHA">Funding!$E$248</definedName>
    <definedName name="PHA_Area_of_Opp_boost">Funding!$E$172</definedName>
    <definedName name="PHA_as_Principal">Funding!$D$244</definedName>
    <definedName name="PHA_land_lease">Funding!$D$240</definedName>
    <definedName name="PHA_Name">Funding!$D$248</definedName>
    <definedName name="PHA_or_RD_points_achieved">'Proximity, Mand.Dist., RECAP'!$H$71</definedName>
    <definedName name="PHA_Prox_boost">'Proximity, Mand.Dist., RECAP'!$D$7</definedName>
    <definedName name="Pharmacy_Address">'Proximity, Mand.Dist., RECAP'!$G$45</definedName>
    <definedName name="Pharmacy_Distance">'Proximity, Mand.Dist., RECAP'!$H$45</definedName>
    <definedName name="Pharmacy_Name">'Proximity, Mand.Dist., RECAP'!$F$45</definedName>
    <definedName name="Pharmacy_points">'Proximity, Mand.Dist., RECAP'!$I$45</definedName>
    <definedName name="PLP_award_amount">Funding!$G$197</definedName>
    <definedName name="PLP_File_number">Funding!$G$196</definedName>
    <definedName name="Pres_def">'Proposed Development Info'!$D$54</definedName>
    <definedName name="previous_EHCL_award">Funding!$H$205</definedName>
    <definedName name="previous_EHCL_File_number">Funding!$G$205</definedName>
    <definedName name="previous_HOME_award">Funding!$H$203</definedName>
    <definedName name="previous_HOME_File_number">Funding!$G$203</definedName>
    <definedName name="previous_MMRB_award">Funding!$H$204</definedName>
    <definedName name="previous_MMRB_File_number">Funding!$G$204</definedName>
    <definedName name="previous_SAIL_award">Funding!$H$202</definedName>
    <definedName name="previous_SAIL_File_number">Funding!$G$202</definedName>
    <definedName name="_xlnm.Print_Area" localSheetId="20">'B. Other Information'!$A$1:$J$19</definedName>
    <definedName name="_xlnm.Print_Area" localSheetId="22">Certification!$A$3:$M$34</definedName>
    <definedName name="_xlnm.Print_Area" localSheetId="13">'Construction Features'!$A$1:$I$35</definedName>
    <definedName name="_xlnm.Print_Area" localSheetId="9">'Development Location'!$A$1:$J$36</definedName>
    <definedName name="_xlnm.Print_Area" localSheetId="1">'Eligibility Table'!$A$4:$K$78</definedName>
    <definedName name="_xlnm.Print_Area" localSheetId="16">Funding!$A$3:$I$300</definedName>
    <definedName name="_xlnm.Print_Area" localSheetId="7">'General Information'!$A$1:$H$166</definedName>
    <definedName name="_xlnm.Print_Area" localSheetId="19">'HOME URA'!$A$1:$I$34</definedName>
    <definedName name="_xlnm.Print_Area" localSheetId="17">'Local Gov''t Contributions'!$A$1:$J$34</definedName>
    <definedName name="_xlnm.Print_Area" localSheetId="21">'Narrative Scoring'!$A$1:$K$6</definedName>
    <definedName name="_xlnm.Print_Area" localSheetId="18">'Pro Forma'!$A$1:$P$415</definedName>
    <definedName name="_xlnm.Print_Area" localSheetId="8">'Proposed Development Info'!$A$3:$I$91</definedName>
    <definedName name="_xlnm.Print_Area" localSheetId="10">'Proximity, Mand.Dist., RECAP'!$A$1:$I$74</definedName>
    <definedName name="_xlnm.Print_Area" localSheetId="12">'Readiness to Proceed'!$A$1:$O$11</definedName>
    <definedName name="_xlnm.Print_Area" localSheetId="15">'Resident Programs'!$A$1:$H$22</definedName>
    <definedName name="_xlnm.Print_Area" localSheetId="14">Services!$A$3:$H$41</definedName>
    <definedName name="_xlnm.Print_Area" localSheetId="11">'Units, Set-Asides, Bldgs'!$A$1:$K$129</definedName>
    <definedName name="_xlnm.Print_Titles" localSheetId="22">Certification!$1:$2</definedName>
    <definedName name="_xlnm.Print_Titles" localSheetId="1">'Eligibility Table'!$1:$3</definedName>
    <definedName name="_xlnm.Print_Titles" localSheetId="16">Funding!$1:$2</definedName>
    <definedName name="_xlnm.Print_Titles" localSheetId="8">'Proposed Development Info'!$1:$2</definedName>
    <definedName name="_xlnm.Print_Titles" localSheetId="14">Services!$1:$2</definedName>
    <definedName name="Priority_Level">'General Information'!$D$103</definedName>
    <definedName name="private_co">'HOME URA'!$F$23</definedName>
    <definedName name="Private_transportation">'Proximity, Mand.Dist., RECAP'!$D$19</definedName>
    <definedName name="Pro_Forma_Dev_Cat">'Pro Forma'!$K$38</definedName>
    <definedName name="Prox_List_Related_Disregard_1">'Proximity, Mand.Dist., RECAP'!$B$58</definedName>
    <definedName name="Prox_List_Related_Disregard_2">'Proximity, Mand.Dist., RECAP'!$B$59</definedName>
    <definedName name="Prox_List_Related_Disregard_3">'Proximity, Mand.Dist., RECAP'!$B$60</definedName>
    <definedName name="Prox_List_Related_Disregard_4">'Proximity, Mand.Dist., RECAP'!$B$61</definedName>
    <definedName name="Prox_List_Related_Disregard_5">'Proximity, Mand.Dist., RECAP'!$B$62</definedName>
    <definedName name="Proximity_list_related">'Proximity, Mand.Dist., RECAP'!$B$55</definedName>
    <definedName name="PU_Constr_Fund_Pref_Dollar">Data1!$F$492</definedName>
    <definedName name="QCT">Funding!$E$152</definedName>
    <definedName name="QCT_metro_or_nonmetro">Funding!$E$154</definedName>
    <definedName name="QCT_number">Funding!$E$156</definedName>
    <definedName name="RD_Prox_boost">'Proximity, Mand.Dist., RECAP'!$D$11</definedName>
    <definedName name="RECAP">'Proximity, Mand.Dist., RECAP'!$B$66</definedName>
    <definedName name="Required_CF">Data1!$G$506</definedName>
    <definedName name="Required_DL">Data1!$G$502</definedName>
    <definedName name="Required_Fund">Data1!$G$509</definedName>
    <definedName name="Required_GI">Data1!$G$500</definedName>
    <definedName name="Required_HOME">Data1!$G$513</definedName>
    <definedName name="Required_PDI">Data1!$G$501</definedName>
    <definedName name="Required_Prox">Data1!$G$503</definedName>
    <definedName name="Required_RP">Data1!$G$508</definedName>
    <definedName name="Required_Serv">Data1!$G$507</definedName>
    <definedName name="Required_USAB">Data1!$G$504</definedName>
    <definedName name="residential_buildings">'Units, Set-Asides, Bldgs'!$H$125</definedName>
    <definedName name="SADDA_ZCTA_1">Funding!$E$141</definedName>
    <definedName name="SADDA_ZCTA_2">Funding!$E$142</definedName>
    <definedName name="SADDA_ZCTA_3">Funding!$E$143</definedName>
    <definedName name="SAIL_Request_Amount">Funding!$I$34</definedName>
    <definedName name="Scattered_Sites">'Development Location'!$G$18</definedName>
    <definedName name="Scattered_Sites_lat_long">'Development Location'!$E$28</definedName>
    <definedName name="SCC_DollarMax">'Pro Forma'!$F$140</definedName>
    <definedName name="School_Address">'Proximity, Mand.Dist., RECAP'!$G$46</definedName>
    <definedName name="School_Distance">'Proximity, Mand.Dist., RECAP'!$H$46</definedName>
    <definedName name="School_Name">'Proximity, Mand.Dist., RECAP'!$F$46</definedName>
    <definedName name="School_points">'Proximity, Mand.Dist., RECAP'!$I$46</definedName>
    <definedName name="Self_Sourced_Applicant">'General Information'!$G$30</definedName>
    <definedName name="seventy_AMI_Avg_Income_Units">'Units, Set-Asides, Bldgs'!$F$43</definedName>
    <definedName name="SiF_ESS_NC_Units">'Proposed Development Info'!$H$77</definedName>
    <definedName name="SiF_Non_ESS_NC_Units">'Proposed Development Info'!$H$78</definedName>
    <definedName name="sixty_AMI_Avg_Income_Units">'Units, Set-Asides, Bldgs'!$F$42</definedName>
    <definedName name="sixty_AMI_HC">'Units, Set-Asides, Bldgs'!$G$29</definedName>
    <definedName name="sixtyfive_AMI_Legislative">'Units, Set-Asides, Bldgs'!$G$30</definedName>
    <definedName name="Small_Area_DDA">Funding!$E$139</definedName>
    <definedName name="Submission_Goal">'General Information'!$C$165</definedName>
    <definedName name="TB_FL_JobCreat_Pref_Met">Data3!$J$218</definedName>
    <definedName name="TB_PUConst_Pref_Met">Data3!$J$220</definedName>
    <definedName name="TB_QFA_Pref_Met">Data3!$J$219</definedName>
    <definedName name="TB_Request_Percent_TDC_Met">Data3!$J$225</definedName>
    <definedName name="TB_Request_PSAU">Data3!$J$224</definedName>
    <definedName name="TBD_Request_Amount">Funding!$I$104</definedName>
    <definedName name="TDC_Base_Limit">'Pro Forma'!$L$376</definedName>
    <definedName name="TDC_eligible">'Pro Forma'!$H$201</definedName>
    <definedName name="TDC_ineligible">'Pro Forma'!$K$201</definedName>
    <definedName name="TDC_PU_Actual">'Pro Forma'!$L$411</definedName>
    <definedName name="TDC_PU_Met">'Pro Forma'!$L$413</definedName>
    <definedName name="TDC_total">'Pro Forma'!$N$201</definedName>
    <definedName name="temp_relocated">'HOME URA'!$G$12</definedName>
    <definedName name="temp_relocated_units">'HOME URA'!$G$13</definedName>
    <definedName name="thirty_AMI_Avg_Income_Units">'Units, Set-Asides, Bldgs'!$F$39</definedName>
    <definedName name="thirty_AMI_HC">'Units, Set-Asides, Bldgs'!$G$23</definedName>
    <definedName name="thirtyfive_AMI_HC">'Units, Set-Asides, Bldgs'!$G$25</definedName>
    <definedName name="thirtythree_AMI_HC">'Units, Set-Asides, Bldgs'!$G$24</definedName>
    <definedName name="Three_Bed_One_and_half_Bath_ELI_Units">'Units, Set-Asides, Bldgs'!$J$100</definedName>
    <definedName name="Three_Bed_One_and_half_Bath_Total_Units">'Units, Set-Asides, Bldgs'!$H$100</definedName>
    <definedName name="Three_Bed_One_Bath_ELI_Units">'Units, Set-Asides, Bldgs'!$J$99</definedName>
    <definedName name="Three_Bed_One_Bath_Total_Units">'Units, Set-Asides, Bldgs'!$H$99</definedName>
    <definedName name="Three_Bed_Three_Bath_ELI_Units">'Units, Set-Asides, Bldgs'!$J$103</definedName>
    <definedName name="Three_Bed_Three_Bath_Total_Units">'Units, Set-Asides, Bldgs'!$H$103</definedName>
    <definedName name="Three_Bed_Two_and_half_Bath_ELI_Units">'Units, Set-Asides, Bldgs'!$J$102</definedName>
    <definedName name="Three_Bed_Two_and_half_Bath_Total_Units">'Units, Set-Asides, Bldgs'!$H$102</definedName>
    <definedName name="Three_Bed_Two_Bath_ELI_Units">'Units, Set-Asides, Bldgs'!$J$101</definedName>
    <definedName name="Three_Bed_Two_Bath_Total_Units">'Units, Set-Asides, Bldgs'!$H$101</definedName>
    <definedName name="Total_AIT_Chart_Units">'Units, Set-Asides, Bldgs'!$F$47</definedName>
    <definedName name="Total_Cash_Funding">Funding!$I$224</definedName>
    <definedName name="Total_Existing_Units">'HOME URA'!$F$7</definedName>
    <definedName name="Total_Gap_Chart_Units">'Units, Set-Asides, Bldgs'!$F$87</definedName>
    <definedName name="total_HC_units_avg_inc">'Units, Set-Asides, Bldgs'!$F$46</definedName>
    <definedName name="total_HC_units_NonAIT">'Units, Set-Asides, Bldgs'!$F$32</definedName>
    <definedName name="Total_NonGrant_Mtg">'Pro Forma'!$X$346</definedName>
    <definedName name="total_proximity_points_achieved">'Proximity, Mand.Dist., RECAP'!$H$73</definedName>
    <definedName name="Total_Units">'Units, Set-Asides, Bldgs'!$J$3</definedName>
    <definedName name="total_units_in_setaside_chart">'Units, Set-Asides, Bldgs'!$F$33</definedName>
    <definedName name="total_units_in_unit_desc_chart">'Proposed Development Info'!$H$87</definedName>
    <definedName name="total_units_non_avg_inc">'Units, Set-Asides, Bldgs'!$F$33</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RECAP'!$H$69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vg_Income_Units">'Units, Set-Asides, Bldgs'!$F$38</definedName>
    <definedName name="twentyeight_AMI_HC">'Units, Set-Asides, Bldgs'!$G$22</definedName>
    <definedName name="twentyeight_AMI_non_avg_inc">'Units, Set-Asides, Bldgs'!$G$22</definedName>
    <definedName name="twentyeight_non_avg_inc">'Units, Set-Asides, Bldgs'!$G$22</definedName>
    <definedName name="twentyfive_AMI_HC">'Units, Set-Asides, Bldgs'!$G$21</definedName>
    <definedName name="twentyfive_AMI_non">'Units, Set-Asides, Bldgs'!$G$21</definedName>
    <definedName name="twentyfive_AMI_non_avg_inc">'Units, Set-Asides, Bldgs'!$G$21</definedName>
    <definedName name="Two_Bed_One_and_half_Bath_ELI_Units">'Units, Set-Asides, Bldgs'!$J$97</definedName>
    <definedName name="Two_Bed_One_and_half_Bath_Total_Units">'Units, Set-Asides, Bldgs'!$H$97</definedName>
    <definedName name="Two_Bed_One_Bath_ELI_Units">'Units, Set-Asides, Bldgs'!$J$96</definedName>
    <definedName name="Two_Bed_One_Bath_Total_Units">'Units, Set-Asides, Bldgs'!$H$96</definedName>
    <definedName name="Two_Bed_Two_Bath_ELI_Units">'Units, Set-Asides, Bldgs'!$J$98</definedName>
    <definedName name="Two_Bed_Two_Bath_Total_Units">'Units, Set-Asides, Bldgs'!$H$98</definedName>
    <definedName name="Workforce_AMI_non_avg_inc">'Units, Set-Asides, Bldgs'!$G$31</definedName>
    <definedName name="Workforce_Avg_Income_Units">'Units, Set-Asides, Bldgs'!$F$45</definedName>
    <definedName name="Workforce_Request_Amount">Funding!$I$15</definedName>
    <definedName name="year_built">'Proposed Development Info'!$F$43</definedName>
    <definedName name="Zero_Bed_One_Bath_ELI_Units">'Units, Set-Asides, Bldgs'!$J$94</definedName>
    <definedName name="Zero_Bed_One_Bath_Total_Units">'Units, Set-Asides, Bldgs'!$H$94</definedName>
    <definedName name="Zero_Bed_One_Bath_Units">'Units, Set-Asides, Bldgs'!$H$94</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74" i="1" l="1"/>
  <c r="L165" i="2"/>
  <c r="K1" i="36"/>
  <c r="K1" i="34" l="1"/>
  <c r="L3" i="36" l="1"/>
  <c r="G172" i="1"/>
  <c r="K86" i="3"/>
  <c r="K85" i="3"/>
  <c r="K84" i="3"/>
  <c r="K83" i="3"/>
  <c r="K82" i="3"/>
  <c r="K81" i="3"/>
  <c r="K78" i="3"/>
  <c r="K77" i="3"/>
  <c r="K76" i="3"/>
  <c r="G173" i="1"/>
  <c r="K173" i="1" s="1"/>
  <c r="J172" i="1"/>
  <c r="N172" i="1" s="1"/>
  <c r="R172" i="1" s="1"/>
  <c r="I172" i="1"/>
  <c r="M172" i="1" s="1"/>
  <c r="Q172" i="1" s="1"/>
  <c r="H173" i="1"/>
  <c r="L173" i="1" s="1"/>
  <c r="P173" i="1" s="1"/>
  <c r="T173" i="1" s="1"/>
  <c r="V173" i="1" s="1"/>
  <c r="B169" i="1"/>
  <c r="H172" i="1"/>
  <c r="H171" i="1"/>
  <c r="G171" i="1"/>
  <c r="J170" i="1"/>
  <c r="N170" i="1" s="1"/>
  <c r="R170" i="1" s="1"/>
  <c r="I170" i="1"/>
  <c r="M170" i="1" s="1"/>
  <c r="Q170" i="1" s="1"/>
  <c r="G170" i="1"/>
  <c r="K170" i="1" s="1"/>
  <c r="I169" i="1"/>
  <c r="M169" i="1" s="1"/>
  <c r="Q169" i="1" s="1"/>
  <c r="G169" i="1"/>
  <c r="J169" i="1"/>
  <c r="N169" i="1" s="1"/>
  <c r="R169" i="1" s="1"/>
  <c r="B170" i="1"/>
  <c r="C4" i="5"/>
  <c r="C4" i="4"/>
  <c r="C29" i="2"/>
  <c r="H513" i="1"/>
  <c r="H508" i="1"/>
  <c r="G508" i="1"/>
  <c r="K1" i="8" s="1"/>
  <c r="L30" i="36"/>
  <c r="G513" i="1" s="1"/>
  <c r="L27" i="36"/>
  <c r="L23" i="36"/>
  <c r="L19" i="36"/>
  <c r="L13" i="36"/>
  <c r="L12" i="36"/>
  <c r="L11" i="36"/>
  <c r="L9" i="36"/>
  <c r="L8" i="36"/>
  <c r="L7" i="36"/>
  <c r="L35" i="34"/>
  <c r="L34" i="34"/>
  <c r="L33" i="34"/>
  <c r="L29" i="34"/>
  <c r="L28" i="34"/>
  <c r="L27" i="34"/>
  <c r="L23" i="34"/>
  <c r="L22" i="34"/>
  <c r="L21" i="34"/>
  <c r="L17" i="34"/>
  <c r="L16" i="34"/>
  <c r="L15" i="34"/>
  <c r="G30" i="36"/>
  <c r="O170" i="1" l="1"/>
  <c r="S170" i="1" s="1"/>
  <c r="U170" i="1" s="1"/>
  <c r="O173" i="1"/>
  <c r="S173" i="1" s="1"/>
  <c r="U173" i="1" s="1"/>
  <c r="H169" i="1"/>
  <c r="K30" i="36"/>
  <c r="M30" i="36" s="1"/>
  <c r="K27" i="36"/>
  <c r="M27" i="36" s="1"/>
  <c r="K23" i="36"/>
  <c r="M6" i="36"/>
  <c r="K13" i="36" s="1"/>
  <c r="M19" i="36"/>
  <c r="M3" i="36"/>
  <c r="F6" i="36"/>
  <c r="K210" i="9"/>
  <c r="K209" i="9"/>
  <c r="K7" i="34"/>
  <c r="M35" i="34"/>
  <c r="M34" i="34"/>
  <c r="M33" i="34"/>
  <c r="M29" i="34"/>
  <c r="M28" i="34"/>
  <c r="M27" i="34"/>
  <c r="M23" i="34"/>
  <c r="M22" i="34"/>
  <c r="M21" i="34"/>
  <c r="M17" i="34"/>
  <c r="M15" i="34"/>
  <c r="C4" i="3"/>
  <c r="L12" i="5"/>
  <c r="L172" i="1" l="1"/>
  <c r="P172" i="1" s="1"/>
  <c r="T172" i="1" s="1"/>
  <c r="V172" i="1" s="1"/>
  <c r="L171" i="1"/>
  <c r="P171" i="1" s="1"/>
  <c r="T171" i="1" s="1"/>
  <c r="V171" i="1" s="1"/>
  <c r="K171" i="1"/>
  <c r="K172" i="1"/>
  <c r="L169" i="1"/>
  <c r="P169" i="1" s="1"/>
  <c r="T169" i="1" s="1"/>
  <c r="V169" i="1" s="1"/>
  <c r="K169" i="1"/>
  <c r="K8" i="34"/>
  <c r="K9" i="36"/>
  <c r="M9" i="36" s="1"/>
  <c r="K11" i="36"/>
  <c r="M11" i="36" s="1"/>
  <c r="K7" i="36"/>
  <c r="M7" i="36" s="1"/>
  <c r="M23" i="36"/>
  <c r="M13" i="36"/>
  <c r="K8" i="36"/>
  <c r="M8" i="36" s="1"/>
  <c r="K12" i="36"/>
  <c r="H27" i="36"/>
  <c r="I23" i="36"/>
  <c r="F411" i="1"/>
  <c r="F428" i="1"/>
  <c r="G428" i="1" s="1"/>
  <c r="F425" i="1"/>
  <c r="G425" i="1" s="1"/>
  <c r="F422" i="1"/>
  <c r="G422" i="1" s="1"/>
  <c r="F420" i="1"/>
  <c r="G420" i="1" s="1"/>
  <c r="F427" i="1"/>
  <c r="G427" i="1" s="1"/>
  <c r="F419" i="1"/>
  <c r="G419" i="1" s="1"/>
  <c r="F424" i="1"/>
  <c r="F418" i="1"/>
  <c r="F423" i="1"/>
  <c r="G423" i="1" s="1"/>
  <c r="F421" i="1"/>
  <c r="G421" i="1" s="1"/>
  <c r="F417" i="1"/>
  <c r="G417" i="1" s="1"/>
  <c r="F416" i="1"/>
  <c r="G416" i="1" s="1"/>
  <c r="F414" i="1"/>
  <c r="G414" i="1" s="1"/>
  <c r="F412" i="1"/>
  <c r="G412" i="1" s="1"/>
  <c r="F426" i="1"/>
  <c r="F415" i="1"/>
  <c r="F413" i="1"/>
  <c r="L110" i="5"/>
  <c r="G70" i="2"/>
  <c r="G89" i="2"/>
  <c r="G80" i="2"/>
  <c r="G71" i="2"/>
  <c r="O166" i="1" l="1"/>
  <c r="O169" i="1"/>
  <c r="S169" i="1" s="1"/>
  <c r="O172" i="1"/>
  <c r="S172" i="1" s="1"/>
  <c r="U172" i="1" s="1"/>
  <c r="O171" i="1"/>
  <c r="S171" i="1" s="1"/>
  <c r="M12" i="36"/>
  <c r="G88" i="2"/>
  <c r="G79" i="2"/>
  <c r="O174" i="1" l="1"/>
  <c r="E479" i="1"/>
  <c r="N277" i="9"/>
  <c r="N275" i="9"/>
  <c r="N269" i="9"/>
  <c r="N261" i="9"/>
  <c r="N258" i="9"/>
  <c r="H17" i="8"/>
  <c r="I34" i="9"/>
  <c r="H21" i="8"/>
  <c r="H20" i="8"/>
  <c r="H19" i="8"/>
  <c r="H18" i="8"/>
  <c r="H5" i="8"/>
  <c r="H10" i="8"/>
  <c r="H8" i="8"/>
  <c r="H7" i="8"/>
  <c r="H6" i="8"/>
  <c r="H9" i="8"/>
  <c r="H31" i="7"/>
  <c r="A207" i="9" a="1"/>
  <c r="A207" i="9" s="1"/>
  <c r="E475" i="1"/>
  <c r="K205" i="9"/>
  <c r="K204" i="9"/>
  <c r="K203" i="9"/>
  <c r="K202" i="9"/>
  <c r="AC88" i="19"/>
  <c r="AB88" i="19"/>
  <c r="AA88" i="19"/>
  <c r="Z88" i="19"/>
  <c r="AC87" i="19"/>
  <c r="AB87" i="19"/>
  <c r="AA87" i="19"/>
  <c r="Z87" i="19"/>
  <c r="AC86" i="19"/>
  <c r="AB86" i="19"/>
  <c r="AA86" i="19"/>
  <c r="Z86" i="19"/>
  <c r="AC85" i="19"/>
  <c r="AB85" i="19"/>
  <c r="AA85" i="19"/>
  <c r="Z85" i="19"/>
  <c r="AC84" i="19"/>
  <c r="AB84" i="19"/>
  <c r="AA84" i="19"/>
  <c r="Z84" i="19"/>
  <c r="AC83" i="19"/>
  <c r="AB83" i="19"/>
  <c r="AA83" i="19"/>
  <c r="Z83" i="19"/>
  <c r="AC82" i="19"/>
  <c r="AB82" i="19"/>
  <c r="AA82" i="19"/>
  <c r="Z82" i="19"/>
  <c r="AC81" i="19"/>
  <c r="AB81" i="19"/>
  <c r="AA81" i="19"/>
  <c r="Z81" i="19"/>
  <c r="AC80" i="19"/>
  <c r="AB80" i="19"/>
  <c r="AA80" i="19"/>
  <c r="Z80" i="19"/>
  <c r="AC79" i="19"/>
  <c r="AB79" i="19"/>
  <c r="AA79" i="19"/>
  <c r="Z79" i="19"/>
  <c r="AC78" i="19"/>
  <c r="AB78" i="19"/>
  <c r="AA78" i="19"/>
  <c r="Z78" i="19"/>
  <c r="AC77" i="19"/>
  <c r="AB77" i="19"/>
  <c r="AA77" i="19"/>
  <c r="Z77" i="19"/>
  <c r="AC76" i="19"/>
  <c r="AB76" i="19"/>
  <c r="AA76" i="19"/>
  <c r="Z76" i="19"/>
  <c r="AC75" i="19"/>
  <c r="AB75" i="19"/>
  <c r="AA75" i="19"/>
  <c r="Z75" i="19"/>
  <c r="AC74" i="19"/>
  <c r="AB74" i="19"/>
  <c r="AA74" i="19"/>
  <c r="Z74" i="19"/>
  <c r="AC73" i="19"/>
  <c r="AB73" i="19"/>
  <c r="AA73" i="19"/>
  <c r="Z73" i="19"/>
  <c r="AC72" i="19"/>
  <c r="AB72" i="19"/>
  <c r="AA72" i="19"/>
  <c r="Z72" i="19"/>
  <c r="AC71" i="19"/>
  <c r="AB71" i="19"/>
  <c r="AA71" i="19"/>
  <c r="Z71" i="19"/>
  <c r="AC70" i="19"/>
  <c r="AB70" i="19"/>
  <c r="AA70" i="19"/>
  <c r="Z70" i="19"/>
  <c r="AC69" i="19"/>
  <c r="AB69" i="19"/>
  <c r="AA69" i="19"/>
  <c r="Z69" i="19"/>
  <c r="AC68" i="19"/>
  <c r="AB68" i="19"/>
  <c r="AA68" i="19"/>
  <c r="Z68" i="19"/>
  <c r="AC67" i="19"/>
  <c r="AB67" i="19"/>
  <c r="AA67" i="19"/>
  <c r="Z67" i="19"/>
  <c r="AC66" i="19"/>
  <c r="AB66" i="19"/>
  <c r="AA66" i="19"/>
  <c r="Z66" i="19"/>
  <c r="AC65" i="19"/>
  <c r="AB65" i="19"/>
  <c r="AA65" i="19"/>
  <c r="Z65" i="19"/>
  <c r="AC64" i="19"/>
  <c r="AB64" i="19"/>
  <c r="AA64" i="19"/>
  <c r="Z64" i="19"/>
  <c r="AC63" i="19"/>
  <c r="AB63" i="19"/>
  <c r="AA63" i="19"/>
  <c r="Z63" i="19"/>
  <c r="AC62" i="19"/>
  <c r="AB62" i="19"/>
  <c r="AA62" i="19"/>
  <c r="Z62" i="19"/>
  <c r="AC61" i="19"/>
  <c r="AB61" i="19"/>
  <c r="AA61" i="19"/>
  <c r="Z61" i="19"/>
  <c r="AC60" i="19"/>
  <c r="AB60" i="19"/>
  <c r="AA60" i="19"/>
  <c r="Z60" i="19"/>
  <c r="AC59" i="19"/>
  <c r="AB59" i="19"/>
  <c r="AA59" i="19"/>
  <c r="Z59" i="19"/>
  <c r="AC58" i="19"/>
  <c r="AB58" i="19"/>
  <c r="AA58" i="19"/>
  <c r="Z58" i="19"/>
  <c r="AC57" i="19"/>
  <c r="AB57" i="19"/>
  <c r="AA57" i="19"/>
  <c r="Z57" i="19"/>
  <c r="AC56" i="19"/>
  <c r="AB56" i="19"/>
  <c r="AA56" i="19"/>
  <c r="Z56" i="19"/>
  <c r="AC55" i="19"/>
  <c r="AB55" i="19"/>
  <c r="AA55" i="19"/>
  <c r="Z55" i="19"/>
  <c r="AC54" i="19"/>
  <c r="AB54" i="19"/>
  <c r="AA54" i="19"/>
  <c r="Z54" i="19"/>
  <c r="AC53" i="19"/>
  <c r="AB53" i="19"/>
  <c r="AA53" i="19"/>
  <c r="Z53" i="19"/>
  <c r="AC52" i="19"/>
  <c r="AB52" i="19"/>
  <c r="AA52" i="19"/>
  <c r="Z52" i="19"/>
  <c r="AC51" i="19"/>
  <c r="AB51" i="19"/>
  <c r="AA51" i="19"/>
  <c r="Z51" i="19"/>
  <c r="AC50" i="19"/>
  <c r="AB50" i="19"/>
  <c r="AA50" i="19"/>
  <c r="Z50" i="19"/>
  <c r="AC49" i="19"/>
  <c r="AB49" i="19"/>
  <c r="AA49" i="19"/>
  <c r="Z49" i="19"/>
  <c r="AC48" i="19"/>
  <c r="AB48" i="19"/>
  <c r="AA48" i="19"/>
  <c r="Z48" i="19"/>
  <c r="AC47" i="19"/>
  <c r="AB47" i="19"/>
  <c r="AA47" i="19"/>
  <c r="Z47" i="19"/>
  <c r="AC46" i="19"/>
  <c r="AB46" i="19"/>
  <c r="AA46" i="19"/>
  <c r="Z46" i="19"/>
  <c r="AC45" i="19"/>
  <c r="AB45" i="19"/>
  <c r="AA45" i="19"/>
  <c r="Z45" i="19"/>
  <c r="AC44" i="19"/>
  <c r="AB44" i="19"/>
  <c r="AA44" i="19"/>
  <c r="Z44" i="19"/>
  <c r="AC43" i="19"/>
  <c r="AB43" i="19"/>
  <c r="AA43" i="19"/>
  <c r="Z43" i="19"/>
  <c r="AC42" i="19"/>
  <c r="AB42" i="19"/>
  <c r="AA42" i="19"/>
  <c r="Z42" i="19"/>
  <c r="AC41" i="19"/>
  <c r="AB41" i="19"/>
  <c r="AA41" i="19"/>
  <c r="Z41" i="19"/>
  <c r="AC40" i="19"/>
  <c r="AB40" i="19"/>
  <c r="AA40" i="19"/>
  <c r="Z40" i="19"/>
  <c r="AC39" i="19"/>
  <c r="AB39" i="19"/>
  <c r="AA39" i="19"/>
  <c r="Z39" i="19"/>
  <c r="AC38" i="19"/>
  <c r="AB38" i="19"/>
  <c r="AA38" i="19"/>
  <c r="Z38" i="19"/>
  <c r="AC37" i="19"/>
  <c r="AB37" i="19"/>
  <c r="AA37" i="19"/>
  <c r="Z37" i="19"/>
  <c r="AC36" i="19"/>
  <c r="AB36" i="19"/>
  <c r="AA36" i="19"/>
  <c r="Z36" i="19"/>
  <c r="AC35" i="19"/>
  <c r="AB35" i="19"/>
  <c r="AA35" i="19"/>
  <c r="Z35" i="19"/>
  <c r="AC34" i="19"/>
  <c r="AB34" i="19"/>
  <c r="AA34" i="19"/>
  <c r="Z34" i="19"/>
  <c r="AC33" i="19"/>
  <c r="AB33" i="19"/>
  <c r="AA33" i="19"/>
  <c r="Z33" i="19"/>
  <c r="AC32" i="19"/>
  <c r="AB32" i="19"/>
  <c r="AA32" i="19"/>
  <c r="Z32" i="19"/>
  <c r="AC31" i="19"/>
  <c r="AB31" i="19"/>
  <c r="AA31" i="19"/>
  <c r="Z31" i="19"/>
  <c r="AC30" i="19"/>
  <c r="AB30" i="19"/>
  <c r="AA30" i="19"/>
  <c r="Z30" i="19"/>
  <c r="AC29" i="19"/>
  <c r="AB29" i="19"/>
  <c r="AA29" i="19"/>
  <c r="Z29" i="19"/>
  <c r="AC28" i="19"/>
  <c r="AB28" i="19"/>
  <c r="AA28" i="19"/>
  <c r="Z28" i="19"/>
  <c r="AC27" i="19"/>
  <c r="AB27" i="19"/>
  <c r="AA27" i="19"/>
  <c r="Z27" i="19"/>
  <c r="AC26" i="19"/>
  <c r="AB26" i="19"/>
  <c r="AA26" i="19"/>
  <c r="Z26" i="19"/>
  <c r="AC25" i="19"/>
  <c r="AB25" i="19"/>
  <c r="AA25" i="19"/>
  <c r="Z25" i="19"/>
  <c r="AC24" i="19"/>
  <c r="AB24" i="19"/>
  <c r="AA24" i="19"/>
  <c r="Z24" i="19"/>
  <c r="AC23" i="19"/>
  <c r="AB23" i="19"/>
  <c r="AA23" i="19"/>
  <c r="Z23" i="19"/>
  <c r="M19" i="14" l="1"/>
  <c r="B90" i="3" a="1"/>
  <c r="B90" i="3" s="1"/>
  <c r="A48" i="32"/>
  <c r="N145" i="26" l="1"/>
  <c r="K145" i="26"/>
  <c r="H145" i="26"/>
  <c r="N79" i="26"/>
  <c r="K79" i="26"/>
  <c r="H79" i="26"/>
  <c r="C279" i="9"/>
  <c r="F39" i="34" l="1"/>
  <c r="B41" i="34" s="1"/>
  <c r="M108" i="2"/>
  <c r="L107" i="2"/>
  <c r="M107" i="2"/>
  <c r="M16" i="34"/>
  <c r="M8" i="34"/>
  <c r="L8" i="34"/>
  <c r="H507" i="1" s="1"/>
  <c r="M7" i="34"/>
  <c r="L7" i="34"/>
  <c r="B11" i="7"/>
  <c r="B13" i="7" s="1"/>
  <c r="A232" i="9" a="1"/>
  <c r="A232" i="9" s="1"/>
  <c r="L230" i="9"/>
  <c r="M230" i="9"/>
  <c r="B220" i="9"/>
  <c r="B228" i="9" s="1"/>
  <c r="G507" i="1" l="1"/>
  <c r="L108" i="2"/>
  <c r="P25" i="9" l="1"/>
  <c r="B293" i="9"/>
  <c r="C183" i="9" a="1"/>
  <c r="C183" i="9" s="1"/>
  <c r="C177" i="9" a="1"/>
  <c r="C177" i="9" s="1"/>
  <c r="C132" i="9" a="1"/>
  <c r="C132" i="9" s="1"/>
  <c r="R114" i="5"/>
  <c r="B28" i="2" l="1"/>
  <c r="B32" i="2" s="1"/>
  <c r="L138" i="2"/>
  <c r="K47" i="3"/>
  <c r="K46" i="3"/>
  <c r="K45" i="3"/>
  <c r="K43" i="3"/>
  <c r="K161" i="2"/>
  <c r="K160" i="2"/>
  <c r="K159" i="2"/>
  <c r="K158" i="2"/>
  <c r="K157" i="2"/>
  <c r="K156" i="2"/>
  <c r="K155" i="2"/>
  <c r="K154" i="2"/>
  <c r="K153" i="2"/>
  <c r="K150" i="2"/>
  <c r="K149" i="2"/>
  <c r="K148" i="2"/>
  <c r="K147" i="2"/>
  <c r="K146" i="2"/>
  <c r="K145" i="2"/>
  <c r="K144" i="2"/>
  <c r="K143" i="2"/>
  <c r="K142" i="2"/>
  <c r="A140" i="2" s="1" a="1"/>
  <c r="A140" i="2" s="1"/>
  <c r="K134" i="2"/>
  <c r="K133" i="2"/>
  <c r="K132" i="2"/>
  <c r="K130" i="2"/>
  <c r="K129" i="2"/>
  <c r="K122" i="2"/>
  <c r="K121" i="2"/>
  <c r="K126" i="2"/>
  <c r="K125" i="2"/>
  <c r="K124" i="2"/>
  <c r="K118" i="2"/>
  <c r="K84" i="2"/>
  <c r="K83" i="2"/>
  <c r="K89" i="2"/>
  <c r="K88" i="2"/>
  <c r="K87" i="2"/>
  <c r="K86" i="2"/>
  <c r="K74" i="2"/>
  <c r="K77" i="2"/>
  <c r="K23" i="2"/>
  <c r="L23" i="2" s="1"/>
  <c r="K22" i="2"/>
  <c r="M22" i="2" s="1"/>
  <c r="K21" i="2"/>
  <c r="L21" i="2" s="1"/>
  <c r="K20" i="2"/>
  <c r="M20" i="2" s="1"/>
  <c r="K19" i="2"/>
  <c r="L19" i="2" s="1"/>
  <c r="K15" i="2"/>
  <c r="M15" i="2" s="1"/>
  <c r="K14" i="2"/>
  <c r="M7" i="4"/>
  <c r="M5" i="4"/>
  <c r="N3" i="4"/>
  <c r="M3" i="4"/>
  <c r="C326" i="1"/>
  <c r="C325" i="1"/>
  <c r="C324" i="1"/>
  <c r="M165" i="2"/>
  <c r="L14" i="2" l="1"/>
  <c r="M14" i="2"/>
  <c r="L15" i="2"/>
  <c r="L22" i="2"/>
  <c r="B34" i="2"/>
  <c r="L20" i="2"/>
  <c r="M23" i="2"/>
  <c r="M21" i="2"/>
  <c r="M19" i="2"/>
  <c r="M138" i="2" l="1"/>
  <c r="K194" i="24" l="1"/>
  <c r="B172" i="1"/>
  <c r="B171" i="1"/>
  <c r="H147" i="24"/>
  <c r="L86" i="2"/>
  <c r="L77" i="2"/>
  <c r="L68" i="2"/>
  <c r="J128" i="5"/>
  <c r="D70" i="5"/>
  <c r="G143" i="9"/>
  <c r="G142" i="9"/>
  <c r="G141" i="9" l="1"/>
  <c r="K218" i="24" l="1"/>
  <c r="K219" i="24"/>
  <c r="K220" i="24"/>
  <c r="K221" i="24"/>
  <c r="K222" i="24"/>
  <c r="K223" i="24"/>
  <c r="K224" i="24"/>
  <c r="K225" i="24"/>
  <c r="K226" i="24"/>
  <c r="K227" i="24"/>
  <c r="K228" i="24"/>
  <c r="J21" i="4" l="1"/>
  <c r="AD273" i="1" l="1"/>
  <c r="AD272" i="1"/>
  <c r="AD271" i="1"/>
  <c r="AD270" i="1"/>
  <c r="AD269" i="1"/>
  <c r="AD268" i="1"/>
  <c r="AE268" i="1"/>
  <c r="AE269" i="1"/>
  <c r="AE270" i="1"/>
  <c r="AE271" i="1"/>
  <c r="AE272" i="1"/>
  <c r="AE273" i="1"/>
  <c r="AC273" i="1"/>
  <c r="AC272" i="1"/>
  <c r="AC271" i="1"/>
  <c r="D298" i="1"/>
  <c r="D297" i="1"/>
  <c r="D296" i="1"/>
  <c r="D295" i="1"/>
  <c r="D294" i="1"/>
  <c r="D293" i="1"/>
  <c r="H71" i="14"/>
  <c r="I273" i="1"/>
  <c r="I282" i="1"/>
  <c r="I291" i="1"/>
  <c r="I299" i="1"/>
  <c r="J28" i="14"/>
  <c r="J29" i="14"/>
  <c r="J24" i="14"/>
  <c r="J25" i="14"/>
  <c r="J26" i="14"/>
  <c r="J27" i="14"/>
  <c r="C269" i="1" l="1"/>
  <c r="C268" i="1"/>
  <c r="C272" i="1"/>
  <c r="P269" i="1"/>
  <c r="P267" i="1"/>
  <c r="H299" i="1"/>
  <c r="G299" i="1"/>
  <c r="H291" i="1"/>
  <c r="G291" i="1"/>
  <c r="H282" i="1"/>
  <c r="G282" i="1"/>
  <c r="H272" i="1"/>
  <c r="G272" i="1"/>
  <c r="P266" i="1"/>
  <c r="P264" i="1" s="1"/>
  <c r="A408" i="1" l="1"/>
  <c r="E485" i="1"/>
  <c r="I225" i="9" s="1"/>
  <c r="L34" i="14"/>
  <c r="L37" i="14"/>
  <c r="F372" i="1"/>
  <c r="J371" i="1"/>
  <c r="A371" i="1"/>
  <c r="A370" i="1"/>
  <c r="C220" i="9" l="1"/>
  <c r="C225" i="9"/>
  <c r="B37" i="27" l="1"/>
  <c r="H150" i="24"/>
  <c r="H149" i="24"/>
  <c r="H148" i="24"/>
  <c r="H146" i="24"/>
  <c r="H145" i="24"/>
  <c r="C271" i="9"/>
  <c r="AB273" i="1"/>
  <c r="AB272" i="1"/>
  <c r="AB271" i="1"/>
  <c r="C263" i="9"/>
  <c r="M250" i="9" l="1"/>
  <c r="L250" i="9"/>
  <c r="M248" i="9"/>
  <c r="L248" i="9"/>
  <c r="M244" i="9"/>
  <c r="L244" i="9"/>
  <c r="K196" i="9" a="1"/>
  <c r="K196" i="9" s="1"/>
  <c r="K156" i="9"/>
  <c r="M152" i="9"/>
  <c r="L152" i="9"/>
  <c r="M147" i="9"/>
  <c r="M127" i="9"/>
  <c r="L127" i="9"/>
  <c r="C127" i="9"/>
  <c r="P117" i="9"/>
  <c r="H117" i="9"/>
  <c r="H114" i="9"/>
  <c r="E114" i="9"/>
  <c r="H102" i="9"/>
  <c r="P87" i="9"/>
  <c r="H54" i="9"/>
  <c r="K53" i="9"/>
  <c r="G53" i="9"/>
  <c r="K52" i="9"/>
  <c r="K51" i="9"/>
  <c r="K50" i="9"/>
  <c r="M50" i="9" s="1"/>
  <c r="K49" i="9"/>
  <c r="M49" i="9" s="1"/>
  <c r="M42" i="9"/>
  <c r="L42" i="9"/>
  <c r="C42" i="9"/>
  <c r="P24" i="9"/>
  <c r="H24" i="9"/>
  <c r="H9" i="9"/>
  <c r="M37" i="14"/>
  <c r="C32" i="14"/>
  <c r="M34" i="14"/>
  <c r="B302" i="1"/>
  <c r="C302" i="1" s="1"/>
  <c r="B301" i="1"/>
  <c r="B300" i="1"/>
  <c r="B299" i="1"/>
  <c r="B298" i="1"/>
  <c r="B297" i="1"/>
  <c r="B296" i="1"/>
  <c r="B295" i="1"/>
  <c r="B294" i="1"/>
  <c r="B293" i="1"/>
  <c r="V271" i="1"/>
  <c r="N188" i="26"/>
  <c r="C68" i="26"/>
  <c r="D389" i="26"/>
  <c r="C296" i="1" l="1"/>
  <c r="C274" i="1" s="1"/>
  <c r="C297" i="1"/>
  <c r="C275" i="1" s="1"/>
  <c r="C298" i="1"/>
  <c r="C276" i="1" s="1"/>
  <c r="L49" i="9"/>
  <c r="L50" i="9"/>
  <c r="D390" i="26"/>
  <c r="D391" i="26" l="1"/>
  <c r="K385" i="26" l="1"/>
  <c r="M74" i="2"/>
  <c r="I80" i="3" l="1"/>
  <c r="I78" i="3"/>
  <c r="I79" i="3"/>
  <c r="I77" i="3"/>
  <c r="I76" i="3"/>
  <c r="I75" i="3"/>
  <c r="I74" i="3"/>
  <c r="I73" i="3"/>
  <c r="I72" i="3"/>
  <c r="G107" i="24"/>
  <c r="H107" i="24"/>
  <c r="H105" i="24"/>
  <c r="G105" i="24"/>
  <c r="W271" i="1"/>
  <c r="P273" i="1"/>
  <c r="P272" i="1"/>
  <c r="P274" i="1"/>
  <c r="P270" i="1"/>
  <c r="Q270" i="1" s="1"/>
  <c r="P268" i="1"/>
  <c r="Q268" i="1" s="1"/>
  <c r="Q269" i="1"/>
  <c r="X342" i="26"/>
  <c r="X340" i="26"/>
  <c r="X328" i="26"/>
  <c r="X326" i="26"/>
  <c r="X324" i="26"/>
  <c r="X322" i="26"/>
  <c r="X320" i="26"/>
  <c r="X318" i="26"/>
  <c r="P271" i="1" l="1"/>
  <c r="Q271" i="1" s="1"/>
  <c r="R271" i="1" s="1"/>
  <c r="V272" i="1"/>
  <c r="W272" i="1" s="1"/>
  <c r="Q267" i="1"/>
  <c r="R267" i="1" s="1"/>
  <c r="S267" i="1" s="1"/>
  <c r="Q273" i="1"/>
  <c r="R273" i="1" s="1"/>
  <c r="R269" i="1"/>
  <c r="S269" i="1" s="1"/>
  <c r="T268" i="1" l="1"/>
  <c r="T272" i="1"/>
  <c r="B306" i="1"/>
  <c r="B305" i="1"/>
  <c r="P89" i="9"/>
  <c r="K190" i="24"/>
  <c r="K189" i="24"/>
  <c r="K187" i="24"/>
  <c r="K184" i="24"/>
  <c r="X171" i="1" s="1"/>
  <c r="K183" i="24"/>
  <c r="K182" i="24"/>
  <c r="W170" i="1" s="1"/>
  <c r="K181" i="24"/>
  <c r="X169" i="1" s="1"/>
  <c r="K180" i="24"/>
  <c r="H67" i="9"/>
  <c r="M72" i="9"/>
  <c r="H63" i="9"/>
  <c r="P88" i="9"/>
  <c r="P86" i="9"/>
  <c r="H88" i="9"/>
  <c r="H109" i="24"/>
  <c r="J88" i="9" s="1"/>
  <c r="H86" i="9"/>
  <c r="G49" i="9" a="1"/>
  <c r="G49" i="9" s="1"/>
  <c r="H49" i="9" s="1"/>
  <c r="A105" i="24"/>
  <c r="A107" i="24"/>
  <c r="A108" i="24" s="1"/>
  <c r="A109" i="24" s="1"/>
  <c r="M93" i="9"/>
  <c r="W169" i="1" l="1"/>
  <c r="U169" i="1"/>
  <c r="X173" i="1"/>
  <c r="X172" i="1"/>
  <c r="W171" i="1"/>
  <c r="U171" i="1"/>
  <c r="U270" i="1"/>
  <c r="V270" i="1" s="1"/>
  <c r="M85" i="3"/>
  <c r="M84" i="3"/>
  <c r="M83" i="3"/>
  <c r="G375" i="26"/>
  <c r="G374" i="26"/>
  <c r="G175" i="24"/>
  <c r="G174" i="24"/>
  <c r="U175" i="1" l="1"/>
  <c r="W172" i="1"/>
  <c r="W173" i="1"/>
  <c r="W174" i="1"/>
  <c r="I105" i="24" s="1"/>
  <c r="W270" i="1"/>
  <c r="AB268" i="1"/>
  <c r="AB270" i="1"/>
  <c r="AB269" i="1"/>
  <c r="L72" i="9"/>
  <c r="L85" i="3"/>
  <c r="L84" i="3"/>
  <c r="L83" i="3"/>
  <c r="AC270" i="1" l="1"/>
  <c r="AC269" i="1"/>
  <c r="AC268" i="1"/>
  <c r="A99" i="24"/>
  <c r="A100" i="24" s="1"/>
  <c r="A101" i="24" s="1"/>
  <c r="A102" i="24" s="1"/>
  <c r="A103" i="24" s="1"/>
  <c r="C44" i="9"/>
  <c r="A174" i="1"/>
  <c r="B173" i="1"/>
  <c r="B174" i="1" l="1"/>
  <c r="D174" i="1" s="1"/>
  <c r="G54" i="9"/>
  <c r="G48" i="9"/>
  <c r="D59" i="9"/>
  <c r="E46" i="9"/>
  <c r="H48" i="9"/>
  <c r="F48" i="9"/>
  <c r="G55" i="9"/>
  <c r="C169" i="1"/>
  <c r="C170" i="1"/>
  <c r="C173" i="1"/>
  <c r="C172" i="1"/>
  <c r="C171" i="1"/>
  <c r="C174" i="1" l="1"/>
  <c r="V416" i="1"/>
  <c r="V414" i="1"/>
  <c r="V415" i="1"/>
  <c r="V412" i="1"/>
  <c r="V411" i="1"/>
  <c r="G31" i="5"/>
  <c r="H17" i="3"/>
  <c r="I511" i="1" l="1"/>
  <c r="P338" i="26" l="1"/>
  <c r="I224" i="9" s="1"/>
  <c r="P292" i="26"/>
  <c r="I226" i="9" l="1"/>
  <c r="J219" i="24" s="1"/>
  <c r="R266" i="26"/>
  <c r="P266" i="26"/>
  <c r="F142" i="1"/>
  <c r="N29" i="20" s="1"/>
  <c r="J27" i="27"/>
  <c r="L27" i="27" s="1"/>
  <c r="J26" i="27"/>
  <c r="L26" i="27" s="1"/>
  <c r="P74" i="32"/>
  <c r="Q74" i="32"/>
  <c r="P70" i="32"/>
  <c r="Q70" i="32"/>
  <c r="P66" i="32"/>
  <c r="Q66" i="32"/>
  <c r="P62" i="32"/>
  <c r="Q62" i="32"/>
  <c r="P58" i="32"/>
  <c r="Q58" i="32"/>
  <c r="P54" i="32"/>
  <c r="Q54" i="32"/>
  <c r="A61" i="32" l="1"/>
  <c r="Q49" i="32"/>
  <c r="P49" i="32"/>
  <c r="Q45" i="32"/>
  <c r="P45" i="32"/>
  <c r="Q41" i="32"/>
  <c r="P41" i="32"/>
  <c r="A44" i="32"/>
  <c r="A40" i="32"/>
  <c r="Q37" i="32"/>
  <c r="P37" i="32"/>
  <c r="Q32" i="32"/>
  <c r="P32" i="32"/>
  <c r="Q29" i="32"/>
  <c r="P29" i="32"/>
  <c r="Q26" i="32"/>
  <c r="P26" i="32"/>
  <c r="Q20" i="32"/>
  <c r="P20" i="32"/>
  <c r="Q16" i="32"/>
  <c r="P16" i="32"/>
  <c r="Q12" i="32"/>
  <c r="P12" i="32"/>
  <c r="Q8" i="32"/>
  <c r="P8" i="32"/>
  <c r="Q4" i="32"/>
  <c r="P4" i="32"/>
  <c r="A11" i="32"/>
  <c r="F143" i="1" a="1"/>
  <c r="F143" i="1" s="1"/>
  <c r="L6" i="27"/>
  <c r="C5" i="32" s="1"/>
  <c r="G165" i="24"/>
  <c r="J185" i="9"/>
  <c r="G166" i="24" l="1"/>
  <c r="G167" i="24"/>
  <c r="G168" i="24"/>
  <c r="G169" i="24"/>
  <c r="G170" i="24"/>
  <c r="G171" i="24"/>
  <c r="G172" i="24"/>
  <c r="G173" i="24"/>
  <c r="G164" i="24"/>
  <c r="J12" i="27"/>
  <c r="L12" i="27" s="1"/>
  <c r="C21" i="32" s="1"/>
  <c r="J174" i="24" l="1"/>
  <c r="J167" i="24"/>
  <c r="J165" i="24"/>
  <c r="J168" i="24"/>
  <c r="J170" i="24"/>
  <c r="J169" i="24"/>
  <c r="J171" i="24"/>
  <c r="J173" i="24"/>
  <c r="J175" i="24"/>
  <c r="J172" i="24"/>
  <c r="J164" i="24"/>
  <c r="J166" i="24"/>
  <c r="F7" i="1"/>
  <c r="I27" i="14"/>
  <c r="I28" i="14"/>
  <c r="I29" i="14"/>
  <c r="C381" i="1"/>
  <c r="C368" i="1"/>
  <c r="C366" i="1"/>
  <c r="A407" i="1"/>
  <c r="A406" i="1"/>
  <c r="A405" i="1"/>
  <c r="A397" i="1"/>
  <c r="A389" i="1"/>
  <c r="D140" i="26"/>
  <c r="F19" i="14"/>
  <c r="D69" i="26"/>
  <c r="Q197" i="26" l="1"/>
  <c r="C45" i="1"/>
  <c r="B35" i="27"/>
  <c r="A342" i="1"/>
  <c r="P35" i="27"/>
  <c r="P36" i="27"/>
  <c r="G160" i="24"/>
  <c r="D18" i="5" l="1"/>
  <c r="I113" i="5"/>
  <c r="B370" i="1"/>
  <c r="B371" i="1"/>
  <c r="G372" i="1" s="1"/>
  <c r="L30" i="5"/>
  <c r="L28" i="5"/>
  <c r="J32" i="5"/>
  <c r="J21" i="5"/>
  <c r="Q193" i="26"/>
  <c r="A20" i="18"/>
  <c r="L76" i="5"/>
  <c r="L77" i="5"/>
  <c r="L78" i="5"/>
  <c r="L79" i="5"/>
  <c r="L73" i="5"/>
  <c r="L74" i="5"/>
  <c r="L75" i="5"/>
  <c r="I371" i="1" l="1"/>
  <c r="D194" i="26"/>
  <c r="D191" i="26"/>
  <c r="D189" i="26"/>
  <c r="H173" i="26" l="1"/>
  <c r="P77" i="26"/>
  <c r="P143" i="26"/>
  <c r="P205" i="26"/>
  <c r="P256" i="26"/>
  <c r="P308" i="26"/>
  <c r="P354" i="26"/>
  <c r="P417" i="26"/>
  <c r="P2" i="26"/>
  <c r="R417" i="26"/>
  <c r="S417" i="26"/>
  <c r="L474" i="26" l="1"/>
  <c r="L475" i="26" s="1"/>
  <c r="G45" i="3" l="1"/>
  <c r="F162" i="1"/>
  <c r="F163" i="1"/>
  <c r="D163" i="1"/>
  <c r="D162" i="1"/>
  <c r="D385" i="26"/>
  <c r="E151" i="9"/>
  <c r="E138" i="9"/>
  <c r="M175" i="9"/>
  <c r="L175" i="9"/>
  <c r="C383" i="1"/>
  <c r="C367" i="1"/>
  <c r="C365" i="1"/>
  <c r="J54" i="27"/>
  <c r="C380" i="1"/>
  <c r="C379" i="1"/>
  <c r="D164" i="1" l="1"/>
  <c r="F164" i="1"/>
  <c r="E50" i="3" s="1"/>
  <c r="C384" i="1"/>
  <c r="J48" i="27" l="1"/>
  <c r="J46" i="27"/>
  <c r="F46" i="5"/>
  <c r="F45" i="5" s="1"/>
  <c r="I31" i="5"/>
  <c r="J16" i="27" l="1"/>
  <c r="L16" i="27" s="1"/>
  <c r="C33" i="32" s="1"/>
  <c r="F84" i="5"/>
  <c r="G86" i="5"/>
  <c r="G85" i="5"/>
  <c r="G32" i="5"/>
  <c r="F82" i="5"/>
  <c r="F73" i="5"/>
  <c r="J86" i="5"/>
  <c r="B5" i="5"/>
  <c r="Q447" i="26"/>
  <c r="L447" i="26"/>
  <c r="L458" i="26" s="1"/>
  <c r="J39" i="27"/>
  <c r="J53" i="27"/>
  <c r="L58" i="27"/>
  <c r="J58" i="27"/>
  <c r="L57" i="27"/>
  <c r="J57" i="27"/>
  <c r="L56" i="27"/>
  <c r="J56" i="27"/>
  <c r="L48" i="27"/>
  <c r="J47" i="27"/>
  <c r="F83" i="5" l="1"/>
  <c r="F74" i="5"/>
  <c r="F75" i="5" s="1"/>
  <c r="F76" i="5" s="1"/>
  <c r="J73" i="5"/>
  <c r="G87" i="5"/>
  <c r="J52" i="27"/>
  <c r="J51" i="27"/>
  <c r="J50" i="27"/>
  <c r="J49" i="27"/>
  <c r="K65" i="26"/>
  <c r="K71" i="26" s="1"/>
  <c r="F21" i="5"/>
  <c r="F22" i="5" l="1"/>
  <c r="F77" i="5"/>
  <c r="J19" i="27"/>
  <c r="J6" i="27"/>
  <c r="J10" i="27"/>
  <c r="J9" i="27"/>
  <c r="J8" i="27"/>
  <c r="L8" i="27" s="1"/>
  <c r="C13" i="32" s="1"/>
  <c r="J7" i="27"/>
  <c r="L7" i="27" s="1"/>
  <c r="C9" i="32" s="1"/>
  <c r="J4" i="27"/>
  <c r="J17" i="27" l="1"/>
  <c r="F23" i="5"/>
  <c r="F24" i="5" s="1"/>
  <c r="F78" i="5"/>
  <c r="L19" i="27"/>
  <c r="C46" i="32" s="1"/>
  <c r="L43" i="27"/>
  <c r="C15" i="1"/>
  <c r="J43" i="27"/>
  <c r="L42" i="27"/>
  <c r="J42" i="27"/>
  <c r="L41" i="27"/>
  <c r="J41" i="27"/>
  <c r="L40" i="27"/>
  <c r="J40" i="27"/>
  <c r="J34" i="27"/>
  <c r="C75" i="32"/>
  <c r="J25" i="27"/>
  <c r="L25" i="27" s="1"/>
  <c r="C71" i="32" s="1"/>
  <c r="J24" i="27"/>
  <c r="L24" i="27" s="1"/>
  <c r="C67" i="32" s="1"/>
  <c r="J21" i="27"/>
  <c r="J18" i="27"/>
  <c r="L18" i="27" s="1"/>
  <c r="C42" i="32" s="1"/>
  <c r="J15" i="27"/>
  <c r="J14" i="27"/>
  <c r="J13" i="27"/>
  <c r="J11" i="27"/>
  <c r="J5" i="27"/>
  <c r="W420" i="1"/>
  <c r="W422" i="1"/>
  <c r="W425" i="1"/>
  <c r="W428" i="1"/>
  <c r="V422" i="1"/>
  <c r="V420" i="1"/>
  <c r="V425" i="1"/>
  <c r="V424" i="1"/>
  <c r="V428" i="1"/>
  <c r="V423" i="1"/>
  <c r="V421" i="1"/>
  <c r="V419" i="1"/>
  <c r="V417" i="1"/>
  <c r="V427" i="1"/>
  <c r="V426" i="1"/>
  <c r="V418" i="1"/>
  <c r="V413" i="1"/>
  <c r="F79" i="5" l="1"/>
  <c r="F80" i="5" s="1"/>
  <c r="F81" i="5" s="1"/>
  <c r="F85" i="5"/>
  <c r="F25" i="5"/>
  <c r="F26" i="5" s="1"/>
  <c r="P38" i="27"/>
  <c r="G357" i="1"/>
  <c r="F27" i="5" l="1"/>
  <c r="F28" i="5" s="1"/>
  <c r="F29" i="5" s="1"/>
  <c r="F31" i="5" s="1"/>
  <c r="F87" i="5"/>
  <c r="F86" i="5"/>
  <c r="L104" i="5"/>
  <c r="L99" i="5"/>
  <c r="P45" i="27"/>
  <c r="P44" i="27"/>
  <c r="P43" i="27"/>
  <c r="P42" i="27"/>
  <c r="P41" i="27"/>
  <c r="P40" i="27"/>
  <c r="P39" i="27"/>
  <c r="J345" i="1"/>
  <c r="J370" i="1"/>
  <c r="J348" i="1"/>
  <c r="G363" i="1"/>
  <c r="H364" i="1" s="1"/>
  <c r="I345" i="1"/>
  <c r="F370" i="1"/>
  <c r="J349" i="1"/>
  <c r="L20" i="5"/>
  <c r="H357" i="1"/>
  <c r="L37" i="5"/>
  <c r="G62" i="5"/>
  <c r="B358" i="1"/>
  <c r="G63" i="5"/>
  <c r="L27" i="5"/>
  <c r="L26" i="5"/>
  <c r="L25" i="5"/>
  <c r="L24" i="5"/>
  <c r="L22" i="5"/>
  <c r="L21" i="5"/>
  <c r="L23" i="5"/>
  <c r="C35" i="5" a="1"/>
  <c r="C35" i="5" s="1"/>
  <c r="K39" i="26"/>
  <c r="B350" i="1"/>
  <c r="I350" i="1" s="1"/>
  <c r="B349" i="1"/>
  <c r="K38" i="26"/>
  <c r="B348" i="1"/>
  <c r="C348" i="1" s="1"/>
  <c r="C357" i="1"/>
  <c r="C345" i="1"/>
  <c r="L13" i="27"/>
  <c r="L5" i="27"/>
  <c r="L4" i="27"/>
  <c r="L9" i="27"/>
  <c r="L11" i="27"/>
  <c r="L17" i="27"/>
  <c r="C38" i="32" s="1"/>
  <c r="B406" i="1" l="1"/>
  <c r="B405" i="1"/>
  <c r="B404" i="1"/>
  <c r="B408" i="1"/>
  <c r="I349" i="1"/>
  <c r="D74" i="26"/>
  <c r="F30" i="5"/>
  <c r="G65" i="5"/>
  <c r="G64" i="5"/>
  <c r="C52" i="5" a="1"/>
  <c r="C52" i="5" s="1"/>
  <c r="C70" i="5" s="1" a="1"/>
  <c r="C70" i="5" s="1"/>
  <c r="P38" i="26"/>
  <c r="H363" i="1"/>
  <c r="I348" i="1"/>
  <c r="F62" i="5"/>
  <c r="L29" i="5"/>
  <c r="C342" i="1"/>
  <c r="I374" i="26"/>
  <c r="I375" i="26"/>
  <c r="P6" i="5"/>
  <c r="J33" i="27" s="1"/>
  <c r="L33" i="27" s="1"/>
  <c r="K365" i="26"/>
  <c r="G373" i="26"/>
  <c r="G372" i="26"/>
  <c r="G371" i="26"/>
  <c r="H369" i="26"/>
  <c r="G369" i="26"/>
  <c r="G370" i="26"/>
  <c r="K389" i="26" l="1"/>
  <c r="K390" i="26"/>
  <c r="K391" i="26"/>
  <c r="I371" i="26"/>
  <c r="I370" i="26"/>
  <c r="I372" i="26"/>
  <c r="I373" i="26"/>
  <c r="I369" i="26"/>
  <c r="G66" i="5"/>
  <c r="F63" i="5"/>
  <c r="F65" i="5" s="1"/>
  <c r="N365" i="26"/>
  <c r="G376" i="26"/>
  <c r="L374" i="26" s="1"/>
  <c r="F64" i="5" l="1"/>
  <c r="F66" i="5" s="1"/>
  <c r="L370" i="26"/>
  <c r="L372" i="26"/>
  <c r="L371" i="26"/>
  <c r="L369" i="26"/>
  <c r="L373" i="26"/>
  <c r="L375" i="26"/>
  <c r="H18" i="3" l="1"/>
  <c r="H20" i="3"/>
  <c r="G20" i="3"/>
  <c r="G18" i="3"/>
  <c r="C161" i="1"/>
  <c r="C157" i="1"/>
  <c r="C160" i="1"/>
  <c r="C159" i="1"/>
  <c r="C158" i="1"/>
  <c r="C156" i="1"/>
  <c r="C155" i="1"/>
  <c r="J23" i="27"/>
  <c r="L23" i="27" s="1"/>
  <c r="C63" i="32" s="1"/>
  <c r="R89" i="5"/>
  <c r="R15" i="5"/>
  <c r="R125" i="5"/>
  <c r="Q125" i="5"/>
  <c r="F156" i="1" l="1"/>
  <c r="F155" i="1"/>
  <c r="F157" i="1"/>
  <c r="F158" i="1"/>
  <c r="F159" i="1"/>
  <c r="F160" i="1"/>
  <c r="F161" i="1"/>
  <c r="M78" i="3" l="1"/>
  <c r="L77" i="3"/>
  <c r="M87" i="2"/>
  <c r="L87" i="2"/>
  <c r="M86" i="2"/>
  <c r="M78" i="2"/>
  <c r="L78" i="2"/>
  <c r="M69" i="2"/>
  <c r="L69" i="2"/>
  <c r="C48" i="1"/>
  <c r="C66" i="1"/>
  <c r="L78" i="3" l="1"/>
  <c r="M77" i="3"/>
  <c r="C46" i="1"/>
  <c r="C65" i="1"/>
  <c r="C40" i="1"/>
  <c r="C64" i="1"/>
  <c r="C47" i="1"/>
  <c r="C42" i="1"/>
  <c r="C49" i="1"/>
  <c r="C63" i="1"/>
  <c r="C62" i="1"/>
  <c r="C61" i="1"/>
  <c r="C60" i="1"/>
  <c r="C59" i="1"/>
  <c r="C58" i="1"/>
  <c r="C57" i="1"/>
  <c r="C39" i="1"/>
  <c r="C56" i="1"/>
  <c r="C37" i="1"/>
  <c r="C36" i="1"/>
  <c r="C35" i="1"/>
  <c r="C55" i="1"/>
  <c r="C44" i="1"/>
  <c r="C43" i="1"/>
  <c r="C54" i="1"/>
  <c r="C41" i="1"/>
  <c r="C53" i="1"/>
  <c r="C52" i="1"/>
  <c r="C51" i="1"/>
  <c r="C50" i="1"/>
  <c r="C38" i="1"/>
  <c r="A5" i="5" a="1"/>
  <c r="A5" i="5" s="1"/>
  <c r="A9" i="4" a="1"/>
  <c r="A9" i="4" s="1"/>
  <c r="L28" i="4"/>
  <c r="J43" i="5"/>
  <c r="K197" i="9" a="1"/>
  <c r="K197" i="9" s="1"/>
  <c r="A65" i="32" l="1"/>
  <c r="M197" i="9"/>
  <c r="L197" i="9"/>
  <c r="F35" i="1"/>
  <c r="A8" i="5" a="1"/>
  <c r="A8" i="5" s="1"/>
  <c r="D386" i="26"/>
  <c r="K386" i="26" s="1"/>
  <c r="F66" i="1"/>
  <c r="F47" i="1"/>
  <c r="F65" i="1"/>
  <c r="F57" i="1"/>
  <c r="F49" i="1"/>
  <c r="F41" i="1"/>
  <c r="F64" i="1"/>
  <c r="F63" i="1"/>
  <c r="F62" i="1"/>
  <c r="F54" i="1"/>
  <c r="F46" i="1"/>
  <c r="F38" i="1"/>
  <c r="F39" i="1"/>
  <c r="F61" i="1"/>
  <c r="F53" i="1"/>
  <c r="F45" i="1"/>
  <c r="F37" i="1"/>
  <c r="F60" i="1"/>
  <c r="F52" i="1"/>
  <c r="F44" i="1"/>
  <c r="F36" i="1"/>
  <c r="F59" i="1"/>
  <c r="F51" i="1"/>
  <c r="F43" i="1"/>
  <c r="F58" i="1"/>
  <c r="F50" i="1"/>
  <c r="F42" i="1"/>
  <c r="F56" i="1"/>
  <c r="F48" i="1"/>
  <c r="F40" i="1"/>
  <c r="F55" i="1"/>
  <c r="A16" i="4" a="1"/>
  <c r="A16" i="4" s="1"/>
  <c r="A69" i="32" s="1"/>
  <c r="C267" i="9"/>
  <c r="C282" i="9"/>
  <c r="C285" i="9"/>
  <c r="C259" i="9"/>
  <c r="B258" i="9"/>
  <c r="I284" i="9"/>
  <c r="I281" i="9"/>
  <c r="B2" i="26"/>
  <c r="B417" i="26" s="1"/>
  <c r="G144" i="24"/>
  <c r="A20" i="4" l="1" a="1"/>
  <c r="A20" i="4" s="1"/>
  <c r="A73" i="32" s="1"/>
  <c r="B261" i="9"/>
  <c r="B265" i="9" s="1"/>
  <c r="A10" i="5" a="1"/>
  <c r="A10" i="5" s="1"/>
  <c r="A37" i="27" s="1"/>
  <c r="M51" i="9"/>
  <c r="B7" i="4"/>
  <c r="B5" i="4"/>
  <c r="N7" i="4"/>
  <c r="N5" i="4"/>
  <c r="L92" i="5"/>
  <c r="G117" i="5"/>
  <c r="G45" i="5"/>
  <c r="G44" i="5"/>
  <c r="G43" i="5"/>
  <c r="G42" i="5"/>
  <c r="G41" i="5"/>
  <c r="G40" i="5"/>
  <c r="G39" i="5"/>
  <c r="G38" i="5"/>
  <c r="B15" i="5"/>
  <c r="I45" i="5"/>
  <c r="J45" i="5"/>
  <c r="J31" i="5"/>
  <c r="R13" i="5"/>
  <c r="Q13" i="5"/>
  <c r="Q6" i="5"/>
  <c r="R6" i="5"/>
  <c r="Q3" i="5"/>
  <c r="R3" i="5"/>
  <c r="C4" i="14"/>
  <c r="C10" i="14"/>
  <c r="K29" i="14"/>
  <c r="M29" i="14" s="1"/>
  <c r="K28" i="14"/>
  <c r="M28" i="14" s="1"/>
  <c r="K27" i="14"/>
  <c r="L27" i="14" s="1"/>
  <c r="K26" i="14"/>
  <c r="L26" i="14" s="1"/>
  <c r="K25" i="14"/>
  <c r="L25" i="14" s="1"/>
  <c r="K24" i="14"/>
  <c r="K43" i="14"/>
  <c r="C21" i="14"/>
  <c r="K46" i="14"/>
  <c r="L46" i="14" s="1"/>
  <c r="K45" i="14"/>
  <c r="M45" i="14" s="1"/>
  <c r="K44" i="14"/>
  <c r="L44" i="14" s="1"/>
  <c r="K58" i="14"/>
  <c r="L58" i="14" s="1"/>
  <c r="L7" i="14"/>
  <c r="L11" i="14"/>
  <c r="L19" i="14"/>
  <c r="L52" i="14"/>
  <c r="L55" i="14"/>
  <c r="L66" i="14"/>
  <c r="M66" i="14"/>
  <c r="M55" i="14"/>
  <c r="M52" i="14"/>
  <c r="M11" i="14"/>
  <c r="M7" i="14"/>
  <c r="M21" i="8"/>
  <c r="L21" i="8"/>
  <c r="M20" i="8"/>
  <c r="L20" i="8"/>
  <c r="M19" i="8"/>
  <c r="L19" i="8"/>
  <c r="M18" i="8"/>
  <c r="L18" i="8"/>
  <c r="L17" i="8"/>
  <c r="M17" i="8"/>
  <c r="M10" i="8"/>
  <c r="L10" i="8"/>
  <c r="M9" i="8"/>
  <c r="L9" i="8"/>
  <c r="M8" i="8"/>
  <c r="L8" i="8"/>
  <c r="M7" i="8"/>
  <c r="L7" i="8"/>
  <c r="M6" i="8"/>
  <c r="L6" i="8"/>
  <c r="M5" i="8"/>
  <c r="L5" i="8"/>
  <c r="P77" i="27"/>
  <c r="P76" i="27"/>
  <c r="P75" i="27"/>
  <c r="P74" i="27"/>
  <c r="P73" i="27"/>
  <c r="P72" i="27"/>
  <c r="P71" i="27"/>
  <c r="P70" i="27"/>
  <c r="P69" i="27"/>
  <c r="P68" i="27"/>
  <c r="P67" i="27"/>
  <c r="P66" i="27"/>
  <c r="P65" i="27"/>
  <c r="P64" i="27"/>
  <c r="P63" i="27"/>
  <c r="P62" i="27"/>
  <c r="P61" i="27"/>
  <c r="P60" i="27"/>
  <c r="P59" i="27"/>
  <c r="P58" i="27"/>
  <c r="P57" i="27"/>
  <c r="P56" i="27"/>
  <c r="P55" i="27"/>
  <c r="P54" i="27"/>
  <c r="P53" i="27"/>
  <c r="P52" i="27"/>
  <c r="P51" i="27"/>
  <c r="P50" i="27"/>
  <c r="P49" i="27"/>
  <c r="P48" i="27"/>
  <c r="P47" i="27"/>
  <c r="P46" i="27"/>
  <c r="P37" i="27"/>
  <c r="P34" i="27"/>
  <c r="P33" i="27"/>
  <c r="P32" i="27"/>
  <c r="P31" i="27"/>
  <c r="P30" i="27"/>
  <c r="P29" i="27"/>
  <c r="P28" i="27"/>
  <c r="P27" i="27"/>
  <c r="P26" i="27"/>
  <c r="P25" i="27"/>
  <c r="P24" i="27"/>
  <c r="P23" i="27"/>
  <c r="P22" i="27"/>
  <c r="P21" i="27"/>
  <c r="P20" i="27"/>
  <c r="P19" i="27"/>
  <c r="P18" i="27"/>
  <c r="P17" i="27"/>
  <c r="P16" i="27"/>
  <c r="P15" i="27"/>
  <c r="P14" i="27"/>
  <c r="P13" i="27"/>
  <c r="P12" i="27"/>
  <c r="P11" i="27"/>
  <c r="P10" i="27"/>
  <c r="P9" i="27"/>
  <c r="P8" i="27"/>
  <c r="P7" i="27"/>
  <c r="P6" i="27"/>
  <c r="P5" i="27"/>
  <c r="P4" i="27"/>
  <c r="J31" i="18"/>
  <c r="A33" i="18" s="1"/>
  <c r="H75" i="14" s="1"/>
  <c r="I31" i="18"/>
  <c r="H31" i="18"/>
  <c r="J29" i="18"/>
  <c r="J28" i="18"/>
  <c r="J27" i="18"/>
  <c r="J26" i="18"/>
  <c r="A23" i="18"/>
  <c r="A17" i="18"/>
  <c r="I15" i="18"/>
  <c r="H15" i="18"/>
  <c r="G15" i="18"/>
  <c r="I13" i="18"/>
  <c r="I12" i="18"/>
  <c r="I11" i="18"/>
  <c r="I10" i="18"/>
  <c r="I22" i="8"/>
  <c r="C22" i="8" s="1"/>
  <c r="I11" i="8"/>
  <c r="C11" i="8" s="1"/>
  <c r="J44" i="27"/>
  <c r="M29" i="7"/>
  <c r="L29" i="7"/>
  <c r="M28" i="7"/>
  <c r="L28" i="7"/>
  <c r="M23" i="7"/>
  <c r="L23" i="7"/>
  <c r="M22" i="7"/>
  <c r="L22" i="7"/>
  <c r="M21" i="7"/>
  <c r="L21" i="7"/>
  <c r="M20" i="7"/>
  <c r="L20" i="7"/>
  <c r="M19" i="7"/>
  <c r="L19" i="7"/>
  <c r="M18" i="7"/>
  <c r="L18" i="7"/>
  <c r="M17" i="7"/>
  <c r="L17" i="7"/>
  <c r="M16" i="7"/>
  <c r="L16" i="7"/>
  <c r="M15" i="7"/>
  <c r="L15" i="7"/>
  <c r="M14" i="7"/>
  <c r="L14" i="7"/>
  <c r="M12" i="7"/>
  <c r="L12" i="7"/>
  <c r="G506" i="1" s="1"/>
  <c r="J120" i="5"/>
  <c r="G120" i="5"/>
  <c r="J119" i="5"/>
  <c r="G119" i="5"/>
  <c r="J118" i="5"/>
  <c r="G118" i="5"/>
  <c r="J117" i="5"/>
  <c r="J116" i="5"/>
  <c r="G116" i="5"/>
  <c r="H111" i="5"/>
  <c r="F47" i="5"/>
  <c r="I48" i="5"/>
  <c r="G33" i="5"/>
  <c r="N28" i="4"/>
  <c r="M28" i="4"/>
  <c r="H502" i="1" s="1"/>
  <c r="N24" i="4"/>
  <c r="M24" i="4"/>
  <c r="N23" i="4"/>
  <c r="M23" i="4"/>
  <c r="N18" i="4"/>
  <c r="M18" i="4"/>
  <c r="N13" i="4"/>
  <c r="M13" i="4"/>
  <c r="N11" i="4"/>
  <c r="M11" i="4"/>
  <c r="G502" i="1" s="1"/>
  <c r="H87" i="3"/>
  <c r="L86" i="3"/>
  <c r="M82" i="3"/>
  <c r="L81" i="3"/>
  <c r="M76" i="3"/>
  <c r="M65" i="3"/>
  <c r="L65" i="3"/>
  <c r="M59" i="3"/>
  <c r="L59" i="3"/>
  <c r="A58" i="3" a="1"/>
  <c r="A58" i="3" s="1"/>
  <c r="M54" i="3"/>
  <c r="L54" i="3"/>
  <c r="M47" i="3"/>
  <c r="L47" i="3"/>
  <c r="M46" i="3"/>
  <c r="L46" i="3"/>
  <c r="M45" i="3"/>
  <c r="L45" i="3"/>
  <c r="M43" i="3"/>
  <c r="L43" i="3"/>
  <c r="M6" i="3"/>
  <c r="L6" i="3"/>
  <c r="M3" i="3"/>
  <c r="L3" i="3"/>
  <c r="M161" i="2"/>
  <c r="L161" i="2"/>
  <c r="M160" i="2"/>
  <c r="L160" i="2"/>
  <c r="M159" i="2"/>
  <c r="L159" i="2"/>
  <c r="M158" i="2"/>
  <c r="L158" i="2"/>
  <c r="M157" i="2"/>
  <c r="L157" i="2"/>
  <c r="M156" i="2"/>
  <c r="L156" i="2"/>
  <c r="M155" i="2"/>
  <c r="L155" i="2"/>
  <c r="M154" i="2"/>
  <c r="L154" i="2"/>
  <c r="M153" i="2"/>
  <c r="L153" i="2"/>
  <c r="B152" i="2"/>
  <c r="M150" i="2"/>
  <c r="L150" i="2"/>
  <c r="M149" i="2"/>
  <c r="L149" i="2"/>
  <c r="M148" i="2"/>
  <c r="L148" i="2"/>
  <c r="M147" i="2"/>
  <c r="L147" i="2"/>
  <c r="M146" i="2"/>
  <c r="L146" i="2"/>
  <c r="M145" i="2"/>
  <c r="L145" i="2"/>
  <c r="M144" i="2"/>
  <c r="L144" i="2"/>
  <c r="M143" i="2"/>
  <c r="L143" i="2"/>
  <c r="M142" i="2"/>
  <c r="L142" i="2"/>
  <c r="M134" i="2"/>
  <c r="L134" i="2"/>
  <c r="M133" i="2"/>
  <c r="L133" i="2"/>
  <c r="M132" i="2"/>
  <c r="L132" i="2"/>
  <c r="M130" i="2"/>
  <c r="L130" i="2"/>
  <c r="M129" i="2"/>
  <c r="L129" i="2"/>
  <c r="C128" i="2"/>
  <c r="M126" i="2"/>
  <c r="L126" i="2"/>
  <c r="M125" i="2"/>
  <c r="L125" i="2"/>
  <c r="M124" i="2"/>
  <c r="L124" i="2"/>
  <c r="M122" i="2"/>
  <c r="L122" i="2"/>
  <c r="M121" i="2"/>
  <c r="L121" i="2"/>
  <c r="M118" i="2"/>
  <c r="L118" i="2"/>
  <c r="B117" i="2"/>
  <c r="M115" i="2"/>
  <c r="L115" i="2"/>
  <c r="M114" i="2"/>
  <c r="L114" i="2"/>
  <c r="M113" i="2"/>
  <c r="L113" i="2"/>
  <c r="M112" i="2"/>
  <c r="L112" i="2"/>
  <c r="M111" i="2"/>
  <c r="L111" i="2"/>
  <c r="M110" i="2"/>
  <c r="L110" i="2"/>
  <c r="M109" i="2"/>
  <c r="L109" i="2"/>
  <c r="M103" i="2"/>
  <c r="L103" i="2"/>
  <c r="C91" i="2"/>
  <c r="M89" i="2"/>
  <c r="L89" i="2"/>
  <c r="M88" i="2"/>
  <c r="L88" i="2"/>
  <c r="M84" i="2"/>
  <c r="L84" i="2"/>
  <c r="M83" i="2"/>
  <c r="L83" i="2"/>
  <c r="M80" i="2"/>
  <c r="L80" i="2"/>
  <c r="M79" i="2"/>
  <c r="L79" i="2"/>
  <c r="M77" i="2"/>
  <c r="M75" i="2"/>
  <c r="L75" i="2"/>
  <c r="M71" i="2"/>
  <c r="L71" i="2"/>
  <c r="M70" i="2"/>
  <c r="L70" i="2"/>
  <c r="M68" i="2"/>
  <c r="M66" i="2"/>
  <c r="L66" i="2"/>
  <c r="M65" i="2"/>
  <c r="L65" i="2"/>
  <c r="M62" i="2"/>
  <c r="L62" i="2"/>
  <c r="M61" i="2"/>
  <c r="L61" i="2"/>
  <c r="M55" i="2"/>
  <c r="L55" i="2"/>
  <c r="M54" i="2"/>
  <c r="L54" i="2"/>
  <c r="H500" i="1" s="1"/>
  <c r="M53" i="2"/>
  <c r="L53" i="2"/>
  <c r="A51" i="2" a="1"/>
  <c r="A51" i="2" s="1"/>
  <c r="M36" i="2"/>
  <c r="L36" i="2"/>
  <c r="M30" i="2"/>
  <c r="L30" i="2"/>
  <c r="M28" i="2"/>
  <c r="L28" i="2"/>
  <c r="M10" i="2"/>
  <c r="L10" i="2"/>
  <c r="Q311" i="19" a="1"/>
  <c r="Q311" i="19" s="1"/>
  <c r="Q310" i="19" a="1"/>
  <c r="Q310" i="19" s="1"/>
  <c r="Q309" i="19" a="1"/>
  <c r="Q309" i="19" s="1"/>
  <c r="Q308" i="19" a="1"/>
  <c r="Q308" i="19" s="1"/>
  <c r="Q307" i="19" a="1"/>
  <c r="Q307" i="19" s="1"/>
  <c r="Q306" i="19" a="1"/>
  <c r="Q306" i="19" s="1"/>
  <c r="Q305" i="19" a="1"/>
  <c r="Q305" i="19" s="1"/>
  <c r="Q304" i="19" a="1"/>
  <c r="Q304" i="19" s="1"/>
  <c r="Q303" i="19" a="1"/>
  <c r="Q303" i="19" s="1"/>
  <c r="Q302" i="19" a="1"/>
  <c r="Q302" i="19" s="1"/>
  <c r="Q301" i="19" a="1"/>
  <c r="Q301" i="19" s="1"/>
  <c r="Q300" i="19" a="1"/>
  <c r="Q300" i="19" s="1"/>
  <c r="Q299" i="19" a="1"/>
  <c r="Q299" i="19" s="1"/>
  <c r="Q298" i="19" a="1"/>
  <c r="Q298" i="19" s="1"/>
  <c r="Q297" i="19" a="1"/>
  <c r="Q297" i="19" s="1"/>
  <c r="Q296" i="19" a="1"/>
  <c r="Q296" i="19" s="1"/>
  <c r="Q295" i="19" a="1"/>
  <c r="Q295" i="19" s="1"/>
  <c r="Q294" i="19" a="1"/>
  <c r="Q294" i="19" s="1"/>
  <c r="Q293" i="19" a="1"/>
  <c r="Q293" i="19" s="1"/>
  <c r="Q292" i="19" a="1"/>
  <c r="Q292" i="19" s="1"/>
  <c r="Q291" i="19" a="1"/>
  <c r="Q291" i="19" s="1"/>
  <c r="Q290" i="19" a="1"/>
  <c r="Q290" i="19" s="1"/>
  <c r="Q289" i="19" a="1"/>
  <c r="Q289" i="19" s="1"/>
  <c r="Q288" i="19" a="1"/>
  <c r="Q288" i="19" s="1"/>
  <c r="Q287" i="19" a="1"/>
  <c r="Q287" i="19" s="1"/>
  <c r="Q286" i="19" a="1"/>
  <c r="Q286" i="19" s="1"/>
  <c r="Q285" i="19" a="1"/>
  <c r="Q285" i="19" s="1"/>
  <c r="Q284" i="19" a="1"/>
  <c r="Q284" i="19" s="1"/>
  <c r="Q283" i="19" a="1"/>
  <c r="Q283" i="19" s="1"/>
  <c r="Q282" i="19" a="1"/>
  <c r="Q282" i="19" s="1"/>
  <c r="Q281" i="19" a="1"/>
  <c r="Q281" i="19" s="1"/>
  <c r="Q280" i="19" a="1"/>
  <c r="Q280" i="19" s="1"/>
  <c r="Q279" i="19" a="1"/>
  <c r="Q279" i="19" s="1"/>
  <c r="Q278" i="19" a="1"/>
  <c r="Q278" i="19" s="1"/>
  <c r="Q277" i="19" a="1"/>
  <c r="Q277" i="19" s="1"/>
  <c r="Q276" i="19" a="1"/>
  <c r="Q276" i="19" s="1"/>
  <c r="Q275" i="19" a="1"/>
  <c r="Q275" i="19" s="1"/>
  <c r="Q274" i="19" a="1"/>
  <c r="Q274" i="19" s="1"/>
  <c r="Q273" i="19" a="1"/>
  <c r="Q273" i="19" s="1"/>
  <c r="Q272" i="19" a="1"/>
  <c r="Q272" i="19" s="1"/>
  <c r="Q271" i="19" a="1"/>
  <c r="Q271" i="19" s="1"/>
  <c r="Q270" i="19" a="1"/>
  <c r="Q270" i="19" s="1"/>
  <c r="Q269" i="19" a="1"/>
  <c r="Q269" i="19" s="1"/>
  <c r="Q268" i="19" a="1"/>
  <c r="Q268" i="19" s="1"/>
  <c r="Q267" i="19" a="1"/>
  <c r="Q267" i="19" s="1"/>
  <c r="Q266" i="19" a="1"/>
  <c r="Q266" i="19" s="1"/>
  <c r="Q265" i="19" a="1"/>
  <c r="Q265" i="19" s="1"/>
  <c r="Q264" i="19" a="1"/>
  <c r="Q264" i="19" s="1"/>
  <c r="Q263" i="19" a="1"/>
  <c r="Q263" i="19" s="1"/>
  <c r="Q262" i="19" a="1"/>
  <c r="Q262" i="19" s="1"/>
  <c r="Q261" i="19" a="1"/>
  <c r="Q261" i="19" s="1"/>
  <c r="Q260" i="19" a="1"/>
  <c r="Q260" i="19" s="1"/>
  <c r="Q259" i="19" a="1"/>
  <c r="Q259" i="19" s="1"/>
  <c r="Q258" i="19" a="1"/>
  <c r="Q258" i="19" s="1"/>
  <c r="Q257" i="19" a="1"/>
  <c r="Q257" i="19" s="1"/>
  <c r="Q256" i="19" a="1"/>
  <c r="Q256" i="19" s="1"/>
  <c r="Q255" i="19" a="1"/>
  <c r="Q255" i="19" s="1"/>
  <c r="Q254" i="19" a="1"/>
  <c r="Q254" i="19" s="1"/>
  <c r="Q253" i="19" a="1"/>
  <c r="Q253" i="19" s="1"/>
  <c r="Q252" i="19" a="1"/>
  <c r="Q252" i="19" s="1"/>
  <c r="Q251" i="19" a="1"/>
  <c r="Q251" i="19" s="1"/>
  <c r="Q250" i="19" a="1"/>
  <c r="Q250" i="19" s="1"/>
  <c r="Q249" i="19" a="1"/>
  <c r="Q249" i="19" s="1"/>
  <c r="Q248" i="19" a="1"/>
  <c r="Q248" i="19" s="1"/>
  <c r="Q247" i="19" a="1"/>
  <c r="Q247" i="19" s="1"/>
  <c r="Q246" i="19" a="1"/>
  <c r="Q246" i="19" s="1"/>
  <c r="Q245" i="19" a="1"/>
  <c r="Q245" i="19" s="1"/>
  <c r="Q244" i="19" a="1"/>
  <c r="Q244" i="19" s="1"/>
  <c r="Q243" i="19" a="1"/>
  <c r="Q243" i="19" s="1"/>
  <c r="Q242" i="19" a="1"/>
  <c r="Q242" i="19" s="1"/>
  <c r="Q241" i="19" a="1"/>
  <c r="Q241" i="19" s="1"/>
  <c r="Q240" i="19" a="1"/>
  <c r="Q240" i="19" s="1"/>
  <c r="Q239" i="19" a="1"/>
  <c r="Q239" i="19" s="1"/>
  <c r="Q238" i="19" a="1"/>
  <c r="Q238" i="19" s="1"/>
  <c r="Q237" i="19" a="1"/>
  <c r="Q237" i="19" s="1"/>
  <c r="Q236" i="19" a="1"/>
  <c r="Q236" i="19" s="1"/>
  <c r="Q235" i="19" a="1"/>
  <c r="Q235" i="19" s="1"/>
  <c r="Q234" i="19" a="1"/>
  <c r="Q234" i="19" s="1"/>
  <c r="Q233" i="19" a="1"/>
  <c r="Q233" i="19" s="1"/>
  <c r="Q232" i="19" a="1"/>
  <c r="Q232" i="19" s="1"/>
  <c r="Q231" i="19" a="1"/>
  <c r="Q231" i="19" s="1"/>
  <c r="Q230" i="19" a="1"/>
  <c r="Q230" i="19" s="1"/>
  <c r="Q229" i="19" a="1"/>
  <c r="Q229" i="19" s="1"/>
  <c r="Q228" i="19" a="1"/>
  <c r="Q228" i="19" s="1"/>
  <c r="Q227" i="19" a="1"/>
  <c r="Q227" i="19" s="1"/>
  <c r="Q226" i="19" a="1"/>
  <c r="Q226" i="19" s="1"/>
  <c r="Q225" i="19" a="1"/>
  <c r="Q225" i="19" s="1"/>
  <c r="Q224" i="19" a="1"/>
  <c r="Q224" i="19" s="1"/>
  <c r="Q223" i="19" a="1"/>
  <c r="Q223" i="19" s="1"/>
  <c r="Q222" i="19" a="1"/>
  <c r="Q222" i="19" s="1"/>
  <c r="Q221" i="19" a="1"/>
  <c r="Q221" i="19" s="1"/>
  <c r="Q220" i="19" a="1"/>
  <c r="Q220" i="19" s="1"/>
  <c r="Q219" i="19" a="1"/>
  <c r="Q219" i="19" s="1"/>
  <c r="Q218" i="19" a="1"/>
  <c r="Q218" i="19" s="1"/>
  <c r="Q217" i="19" a="1"/>
  <c r="Q217" i="19" s="1"/>
  <c r="Q216" i="19" a="1"/>
  <c r="Q216" i="19" s="1"/>
  <c r="Q215" i="19" a="1"/>
  <c r="Q215" i="19" s="1"/>
  <c r="Q214" i="19" a="1"/>
  <c r="Q214" i="19" s="1"/>
  <c r="Q213" i="19" a="1"/>
  <c r="Q213" i="19" s="1"/>
  <c r="Q212" i="19" a="1"/>
  <c r="Q212" i="19" s="1"/>
  <c r="Q211" i="19" a="1"/>
  <c r="Q211" i="19" s="1"/>
  <c r="Q210" i="19" a="1"/>
  <c r="Q210" i="19" s="1"/>
  <c r="Q209" i="19" a="1"/>
  <c r="Q209" i="19" s="1"/>
  <c r="Q208" i="19" a="1"/>
  <c r="Q208" i="19" s="1"/>
  <c r="Q207" i="19" a="1"/>
  <c r="Q207" i="19" s="1"/>
  <c r="Q206" i="19" a="1"/>
  <c r="Q206" i="19" s="1"/>
  <c r="Q205" i="19" a="1"/>
  <c r="Q205" i="19" s="1"/>
  <c r="Q204" i="19" a="1"/>
  <c r="Q204" i="19" s="1"/>
  <c r="Q203" i="19" a="1"/>
  <c r="Q203" i="19" s="1"/>
  <c r="Q202" i="19" a="1"/>
  <c r="Q202" i="19" s="1"/>
  <c r="Q201" i="19" a="1"/>
  <c r="Q201" i="19" s="1"/>
  <c r="Q200" i="19" a="1"/>
  <c r="Q200" i="19" s="1"/>
  <c r="Q199" i="19" a="1"/>
  <c r="Q199" i="19" s="1"/>
  <c r="Q198" i="19" a="1"/>
  <c r="Q198" i="19" s="1"/>
  <c r="Q197" i="19" a="1"/>
  <c r="Q197" i="19" s="1"/>
  <c r="Q196" i="19" a="1"/>
  <c r="Q196" i="19" s="1"/>
  <c r="Q195" i="19" a="1"/>
  <c r="Q195" i="19" s="1"/>
  <c r="Q194" i="19" a="1"/>
  <c r="Q194" i="19" s="1"/>
  <c r="Q193" i="19" a="1"/>
  <c r="Q193" i="19" s="1"/>
  <c r="Q192" i="19" a="1"/>
  <c r="Q192" i="19" s="1"/>
  <c r="Q191" i="19" a="1"/>
  <c r="Q191" i="19" s="1"/>
  <c r="Q190" i="19" a="1"/>
  <c r="Q190" i="19" s="1"/>
  <c r="Q189" i="19" a="1"/>
  <c r="Q189" i="19" s="1"/>
  <c r="Q188" i="19" a="1"/>
  <c r="Q188" i="19" s="1"/>
  <c r="Q187" i="19" a="1"/>
  <c r="Q187" i="19" s="1"/>
  <c r="Q186" i="19" a="1"/>
  <c r="Q186" i="19" s="1"/>
  <c r="Q185" i="19" a="1"/>
  <c r="Q185" i="19" s="1"/>
  <c r="Q184" i="19" a="1"/>
  <c r="Q184" i="19" s="1"/>
  <c r="Q183" i="19" a="1"/>
  <c r="Q183" i="19" s="1"/>
  <c r="Q182" i="19" a="1"/>
  <c r="Q182" i="19" s="1"/>
  <c r="Q181" i="19" a="1"/>
  <c r="Q181" i="19" s="1"/>
  <c r="Q180" i="19" a="1"/>
  <c r="Q180" i="19" s="1"/>
  <c r="Q179" i="19" a="1"/>
  <c r="Q179" i="19" s="1"/>
  <c r="Q178" i="19" a="1"/>
  <c r="Q178" i="19" s="1"/>
  <c r="Q177" i="19" a="1"/>
  <c r="Q177" i="19" s="1"/>
  <c r="Q176" i="19" a="1"/>
  <c r="Q176" i="19" s="1"/>
  <c r="Q175" i="19" a="1"/>
  <c r="Q175" i="19" s="1"/>
  <c r="Q174" i="19" a="1"/>
  <c r="Q174" i="19" s="1"/>
  <c r="Q173" i="19" a="1"/>
  <c r="Q173" i="19" s="1"/>
  <c r="Q172" i="19" a="1"/>
  <c r="Q172" i="19" s="1"/>
  <c r="Q171" i="19" a="1"/>
  <c r="Q171" i="19" s="1"/>
  <c r="Q170" i="19" a="1"/>
  <c r="Q170" i="19" s="1"/>
  <c r="Q169" i="19" a="1"/>
  <c r="Q169" i="19" s="1"/>
  <c r="Q168" i="19" a="1"/>
  <c r="Q168" i="19" s="1"/>
  <c r="Q167" i="19" a="1"/>
  <c r="Q167" i="19" s="1"/>
  <c r="Q166" i="19" a="1"/>
  <c r="Q166" i="19" s="1"/>
  <c r="Q165" i="19" a="1"/>
  <c r="Q165" i="19" s="1"/>
  <c r="Q164" i="19" a="1"/>
  <c r="Q164" i="19" s="1"/>
  <c r="Q163" i="19" a="1"/>
  <c r="Q163" i="19" s="1"/>
  <c r="Q162" i="19" a="1"/>
  <c r="Q162" i="19" s="1"/>
  <c r="Q161" i="19" a="1"/>
  <c r="Q161" i="19" s="1"/>
  <c r="Q160" i="19" a="1"/>
  <c r="Q160" i="19" s="1"/>
  <c r="Q159" i="19" a="1"/>
  <c r="Q159" i="19" s="1"/>
  <c r="Q158" i="19" a="1"/>
  <c r="Q158" i="19" s="1"/>
  <c r="Q157" i="19" a="1"/>
  <c r="Q157" i="19" s="1"/>
  <c r="Q156" i="19" a="1"/>
  <c r="Q156" i="19" s="1"/>
  <c r="Q155" i="19" a="1"/>
  <c r="Q155" i="19" s="1"/>
  <c r="Q154" i="19" a="1"/>
  <c r="Q154" i="19" s="1"/>
  <c r="Q153" i="19" a="1"/>
  <c r="Q153" i="19" s="1"/>
  <c r="Q152" i="19" a="1"/>
  <c r="Q152" i="19" s="1"/>
  <c r="Q151" i="19" a="1"/>
  <c r="Q151" i="19" s="1"/>
  <c r="Q150" i="19" a="1"/>
  <c r="Q150" i="19" s="1"/>
  <c r="Q149" i="19" a="1"/>
  <c r="Q149" i="19" s="1"/>
  <c r="Q148" i="19" a="1"/>
  <c r="Q148" i="19" s="1"/>
  <c r="Q147" i="19" a="1"/>
  <c r="Q147" i="19" s="1"/>
  <c r="Q146" i="19" a="1"/>
  <c r="Q146" i="19" s="1"/>
  <c r="Q145" i="19" a="1"/>
  <c r="Q145" i="19" s="1"/>
  <c r="Q144" i="19" a="1"/>
  <c r="Q144" i="19" s="1"/>
  <c r="Q143" i="19" a="1"/>
  <c r="Q143" i="19" s="1"/>
  <c r="Q142" i="19" a="1"/>
  <c r="Q142" i="19" s="1"/>
  <c r="Q141" i="19" a="1"/>
  <c r="Q141" i="19" s="1"/>
  <c r="Q140" i="19" a="1"/>
  <c r="Q140" i="19" s="1"/>
  <c r="Q139" i="19" a="1"/>
  <c r="Q139" i="19" s="1"/>
  <c r="Q138" i="19" a="1"/>
  <c r="Q138" i="19" s="1"/>
  <c r="Q137" i="19" a="1"/>
  <c r="Q137" i="19" s="1"/>
  <c r="Q136" i="19" a="1"/>
  <c r="Q136" i="19" s="1"/>
  <c r="Q135" i="19" a="1"/>
  <c r="Q135" i="19" s="1"/>
  <c r="Q134" i="19" a="1"/>
  <c r="Q134" i="19" s="1"/>
  <c r="Q133" i="19" a="1"/>
  <c r="Q133" i="19" s="1"/>
  <c r="Q132" i="19" a="1"/>
  <c r="Q132" i="19" s="1"/>
  <c r="Q131" i="19" a="1"/>
  <c r="Q131" i="19" s="1"/>
  <c r="Q130" i="19" a="1"/>
  <c r="Q130" i="19" s="1"/>
  <c r="Q129" i="19" a="1"/>
  <c r="Q129" i="19" s="1"/>
  <c r="Q128" i="19" a="1"/>
  <c r="Q128" i="19" s="1"/>
  <c r="Q127" i="19" a="1"/>
  <c r="Q127" i="19" s="1"/>
  <c r="Q126" i="19" a="1"/>
  <c r="Q126" i="19" s="1"/>
  <c r="Q125" i="19" a="1"/>
  <c r="Q125" i="19" s="1"/>
  <c r="Q124" i="19" a="1"/>
  <c r="Q124" i="19" s="1"/>
  <c r="Q123" i="19" a="1"/>
  <c r="Q123" i="19" s="1"/>
  <c r="Q122" i="19" a="1"/>
  <c r="Q122" i="19" s="1"/>
  <c r="Q121" i="19" a="1"/>
  <c r="Q121" i="19" s="1"/>
  <c r="Q120" i="19" a="1"/>
  <c r="Q120" i="19" s="1"/>
  <c r="Q119" i="19" a="1"/>
  <c r="Q119" i="19" s="1"/>
  <c r="Q118" i="19" a="1"/>
  <c r="Q118" i="19" s="1"/>
  <c r="Q117" i="19" a="1"/>
  <c r="Q117" i="19" s="1"/>
  <c r="Q116" i="19" a="1"/>
  <c r="Q116" i="19" s="1"/>
  <c r="Q115" i="19" a="1"/>
  <c r="Q115" i="19" s="1"/>
  <c r="Q114" i="19" a="1"/>
  <c r="Q114" i="19" s="1"/>
  <c r="Q113" i="19" a="1"/>
  <c r="Q113" i="19" s="1"/>
  <c r="Q112" i="19" a="1"/>
  <c r="Q112" i="19" s="1"/>
  <c r="Q111" i="19" a="1"/>
  <c r="Q111" i="19" s="1"/>
  <c r="Q110" i="19" a="1"/>
  <c r="Q110" i="19" s="1"/>
  <c r="Q109" i="19" a="1"/>
  <c r="Q109" i="19" s="1"/>
  <c r="Q108" i="19" a="1"/>
  <c r="Q108" i="19" s="1"/>
  <c r="Q107" i="19" a="1"/>
  <c r="Q107" i="19" s="1"/>
  <c r="Q106" i="19" a="1"/>
  <c r="Q106" i="19" s="1"/>
  <c r="Q105" i="19" a="1"/>
  <c r="Q105" i="19" s="1"/>
  <c r="Q104" i="19" a="1"/>
  <c r="Q104" i="19" s="1"/>
  <c r="Q103" i="19" a="1"/>
  <c r="Q103" i="19" s="1"/>
  <c r="Q102" i="19" a="1"/>
  <c r="Q102" i="19" s="1"/>
  <c r="Q101" i="19" a="1"/>
  <c r="Q101" i="19" s="1"/>
  <c r="Q100" i="19" a="1"/>
  <c r="Q100" i="19" s="1"/>
  <c r="Q99" i="19" a="1"/>
  <c r="Q99" i="19" s="1"/>
  <c r="Q98" i="19" a="1"/>
  <c r="Q98" i="19" s="1"/>
  <c r="Q97" i="19" a="1"/>
  <c r="Q97" i="19" s="1"/>
  <c r="Q96" i="19" a="1"/>
  <c r="Q96" i="19" s="1"/>
  <c r="Q95" i="19" a="1"/>
  <c r="Q95" i="19" s="1"/>
  <c r="Q94" i="19" a="1"/>
  <c r="Q94" i="19" s="1"/>
  <c r="Q93" i="19" a="1"/>
  <c r="Q93" i="19" s="1"/>
  <c r="Q92" i="19" a="1"/>
  <c r="Q92" i="19" s="1"/>
  <c r="Q91" i="19" a="1"/>
  <c r="Q91" i="19" s="1"/>
  <c r="Q90" i="19" a="1"/>
  <c r="Q90" i="19" s="1"/>
  <c r="Q89" i="19" a="1"/>
  <c r="Q89" i="19" s="1"/>
  <c r="Q88" i="19" a="1"/>
  <c r="Q88" i="19" s="1"/>
  <c r="Q87" i="19" a="1"/>
  <c r="Q87" i="19" s="1"/>
  <c r="Q86" i="19" a="1"/>
  <c r="Q86" i="19" s="1"/>
  <c r="Q85" i="19" a="1"/>
  <c r="Q85" i="19" s="1"/>
  <c r="Q84" i="19" a="1"/>
  <c r="Q84" i="19" s="1"/>
  <c r="Q83" i="19" a="1"/>
  <c r="Q83" i="19" s="1"/>
  <c r="Q82" i="19" a="1"/>
  <c r="Q82" i="19" s="1"/>
  <c r="Q81" i="19" a="1"/>
  <c r="Q81" i="19" s="1"/>
  <c r="Q80" i="19" a="1"/>
  <c r="Q80" i="19" s="1"/>
  <c r="Q79" i="19" a="1"/>
  <c r="Q79" i="19" s="1"/>
  <c r="Q78" i="19" a="1"/>
  <c r="Q78" i="19" s="1"/>
  <c r="Q77" i="19" a="1"/>
  <c r="Q77" i="19" s="1"/>
  <c r="Q76" i="19" a="1"/>
  <c r="Q76" i="19" s="1"/>
  <c r="Q75" i="19" a="1"/>
  <c r="Q75" i="19" s="1"/>
  <c r="Q74" i="19" a="1"/>
  <c r="Q74" i="19" s="1"/>
  <c r="Q73" i="19" a="1"/>
  <c r="Q73" i="19" s="1"/>
  <c r="Q72" i="19" a="1"/>
  <c r="Q72" i="19" s="1"/>
  <c r="Q71" i="19" a="1"/>
  <c r="Q71" i="19" s="1"/>
  <c r="Q70" i="19" a="1"/>
  <c r="Q70" i="19" s="1"/>
  <c r="Q69" i="19" a="1"/>
  <c r="Q69" i="19" s="1"/>
  <c r="Q68" i="19" a="1"/>
  <c r="Q68" i="19" s="1"/>
  <c r="Q67" i="19" a="1"/>
  <c r="Q67" i="19" s="1"/>
  <c r="Q66" i="19" a="1"/>
  <c r="Q66" i="19" s="1"/>
  <c r="Q65" i="19" a="1"/>
  <c r="Q65" i="19" s="1"/>
  <c r="Q64" i="19" a="1"/>
  <c r="Q64" i="19" s="1"/>
  <c r="Q63" i="19" a="1"/>
  <c r="Q63" i="19" s="1"/>
  <c r="Q62" i="19" a="1"/>
  <c r="Q62" i="19" s="1"/>
  <c r="Q61" i="19" a="1"/>
  <c r="Q61" i="19" s="1"/>
  <c r="Q60" i="19" a="1"/>
  <c r="Q60" i="19" s="1"/>
  <c r="Q59" i="19" a="1"/>
  <c r="Q59" i="19" s="1"/>
  <c r="Q58" i="19" a="1"/>
  <c r="Q58" i="19" s="1"/>
  <c r="Q57" i="19" a="1"/>
  <c r="Q57" i="19" s="1"/>
  <c r="Q56" i="19" a="1"/>
  <c r="Q56" i="19" s="1"/>
  <c r="Q55" i="19" a="1"/>
  <c r="Q55" i="19" s="1"/>
  <c r="Q54" i="19" a="1"/>
  <c r="Q54" i="19" s="1"/>
  <c r="Q53" i="19" a="1"/>
  <c r="Q53" i="19" s="1"/>
  <c r="Q52" i="19" a="1"/>
  <c r="Q52" i="19" s="1"/>
  <c r="Q51" i="19" a="1"/>
  <c r="Q51" i="19" s="1"/>
  <c r="Q50" i="19" a="1"/>
  <c r="Q50" i="19" s="1"/>
  <c r="Q49" i="19" a="1"/>
  <c r="Q49" i="19" s="1"/>
  <c r="Q48" i="19" a="1"/>
  <c r="Q48" i="19" s="1"/>
  <c r="Q47" i="19" a="1"/>
  <c r="Q47" i="19" s="1"/>
  <c r="Q46" i="19" a="1"/>
  <c r="Q46" i="19" s="1"/>
  <c r="Q45" i="19" a="1"/>
  <c r="Q45" i="19" s="1"/>
  <c r="Q44" i="19" a="1"/>
  <c r="Q44" i="19" s="1"/>
  <c r="Q43" i="19" a="1"/>
  <c r="Q43" i="19" s="1"/>
  <c r="Q42" i="19" a="1"/>
  <c r="Q42" i="19" s="1"/>
  <c r="Q41" i="19" a="1"/>
  <c r="Q41" i="19" s="1"/>
  <c r="Q40" i="19" a="1"/>
  <c r="Q40" i="19" s="1"/>
  <c r="Q39" i="19" a="1"/>
  <c r="Q39" i="19" s="1"/>
  <c r="Q38" i="19" a="1"/>
  <c r="Q38" i="19" s="1"/>
  <c r="Q37" i="19" a="1"/>
  <c r="Q37" i="19" s="1"/>
  <c r="Q36" i="19" a="1"/>
  <c r="Q36" i="19" s="1"/>
  <c r="Q35" i="19" a="1"/>
  <c r="Q35" i="19" s="1"/>
  <c r="Q34" i="19" a="1"/>
  <c r="Q34" i="19" s="1"/>
  <c r="Q33" i="19" a="1"/>
  <c r="Q33" i="19" s="1"/>
  <c r="Q32" i="19" a="1"/>
  <c r="Q32" i="19" s="1"/>
  <c r="Q31" i="19" a="1"/>
  <c r="Q31" i="19" s="1"/>
  <c r="Q30" i="19" a="1"/>
  <c r="Q30" i="19" s="1"/>
  <c r="Q29" i="19" a="1"/>
  <c r="Q29" i="19" s="1"/>
  <c r="Q28" i="19" a="1"/>
  <c r="Q28" i="19" s="1"/>
  <c r="Q27" i="19" a="1"/>
  <c r="Q27" i="19" s="1"/>
  <c r="Q26" i="19" a="1"/>
  <c r="Q26" i="19" s="1"/>
  <c r="Q25" i="19" a="1"/>
  <c r="Q25" i="19" s="1"/>
  <c r="Q24" i="19" a="1"/>
  <c r="Q24" i="19" s="1"/>
  <c r="Q23" i="19" a="1"/>
  <c r="Q23" i="19" s="1"/>
  <c r="Q22" i="19"/>
  <c r="O22" i="19"/>
  <c r="B407" i="1"/>
  <c r="C134" i="1"/>
  <c r="C133" i="1"/>
  <c r="C132" i="1"/>
  <c r="C131" i="1"/>
  <c r="C130" i="1"/>
  <c r="C129" i="1"/>
  <c r="C128" i="1"/>
  <c r="C127" i="1"/>
  <c r="C126" i="1"/>
  <c r="C125" i="1"/>
  <c r="C124" i="1"/>
  <c r="C123" i="1"/>
  <c r="C122" i="1"/>
  <c r="C121" i="1"/>
  <c r="C120" i="1"/>
  <c r="C119" i="1"/>
  <c r="C118" i="1"/>
  <c r="C117" i="1"/>
  <c r="C116" i="1"/>
  <c r="C115" i="1"/>
  <c r="C114" i="1"/>
  <c r="C113" i="1"/>
  <c r="C112" i="1"/>
  <c r="C111" i="1"/>
  <c r="C110" i="1"/>
  <c r="C109" i="1"/>
  <c r="C108" i="1"/>
  <c r="C107" i="1"/>
  <c r="C106" i="1"/>
  <c r="C105" i="1"/>
  <c r="C104" i="1"/>
  <c r="C103" i="1"/>
  <c r="C102" i="1"/>
  <c r="C101" i="1"/>
  <c r="C100" i="1"/>
  <c r="C99" i="1"/>
  <c r="C98" i="1"/>
  <c r="C97" i="1"/>
  <c r="C96" i="1"/>
  <c r="C95" i="1"/>
  <c r="C94" i="1"/>
  <c r="C93" i="1"/>
  <c r="C92" i="1"/>
  <c r="C91" i="1"/>
  <c r="C90" i="1"/>
  <c r="C89" i="1"/>
  <c r="C88" i="1"/>
  <c r="C87" i="1"/>
  <c r="C86" i="1"/>
  <c r="C85" i="1"/>
  <c r="C84" i="1"/>
  <c r="C435" i="1"/>
  <c r="C434" i="1"/>
  <c r="C433" i="1"/>
  <c r="C432" i="1"/>
  <c r="C81" i="1"/>
  <c r="C80" i="1"/>
  <c r="C542" i="1"/>
  <c r="C541" i="1"/>
  <c r="C540" i="1"/>
  <c r="C539" i="1"/>
  <c r="C341" i="1"/>
  <c r="C340" i="1"/>
  <c r="C339" i="1"/>
  <c r="C336" i="1"/>
  <c r="C335" i="1"/>
  <c r="C334" i="1"/>
  <c r="C265" i="1"/>
  <c r="C264" i="1"/>
  <c r="C263" i="1"/>
  <c r="C262" i="1"/>
  <c r="C261" i="1"/>
  <c r="C260" i="1"/>
  <c r="C259" i="1"/>
  <c r="C258" i="1"/>
  <c r="C257" i="1"/>
  <c r="C256" i="1"/>
  <c r="C255" i="1"/>
  <c r="C254" i="1"/>
  <c r="C243" i="1"/>
  <c r="C242" i="1"/>
  <c r="C241" i="1"/>
  <c r="C240" i="1"/>
  <c r="C239" i="1"/>
  <c r="C238" i="1"/>
  <c r="C237" i="1"/>
  <c r="C236" i="1"/>
  <c r="C235" i="1"/>
  <c r="C234" i="1"/>
  <c r="C233" i="1"/>
  <c r="C232" i="1"/>
  <c r="C231" i="1"/>
  <c r="C230" i="1"/>
  <c r="C229" i="1"/>
  <c r="C228" i="1"/>
  <c r="C227" i="1"/>
  <c r="C226" i="1"/>
  <c r="C225" i="1"/>
  <c r="C224" i="1"/>
  <c r="C223" i="1"/>
  <c r="C222" i="1"/>
  <c r="C221" i="1"/>
  <c r="C220" i="1"/>
  <c r="C219" i="1"/>
  <c r="C218" i="1"/>
  <c r="C217" i="1"/>
  <c r="C216" i="1"/>
  <c r="C215" i="1"/>
  <c r="C214" i="1"/>
  <c r="C213" i="1"/>
  <c r="C212" i="1"/>
  <c r="C211" i="1"/>
  <c r="C210" i="1"/>
  <c r="C209" i="1"/>
  <c r="C208" i="1"/>
  <c r="C207" i="1"/>
  <c r="C206" i="1"/>
  <c r="C205" i="1"/>
  <c r="C204" i="1"/>
  <c r="C203" i="1"/>
  <c r="C202" i="1"/>
  <c r="C201" i="1"/>
  <c r="C200" i="1"/>
  <c r="C199" i="1"/>
  <c r="C198" i="1"/>
  <c r="C197" i="1"/>
  <c r="C196" i="1"/>
  <c r="C195" i="1"/>
  <c r="C194" i="1"/>
  <c r="C193" i="1"/>
  <c r="C192" i="1"/>
  <c r="C191" i="1"/>
  <c r="C190" i="1"/>
  <c r="C189" i="1"/>
  <c r="C188" i="1"/>
  <c r="C187" i="1"/>
  <c r="C186" i="1"/>
  <c r="C185" i="1"/>
  <c r="C184" i="1"/>
  <c r="C183" i="1"/>
  <c r="C182" i="1"/>
  <c r="C181" i="1"/>
  <c r="C180" i="1"/>
  <c r="C179" i="1"/>
  <c r="C178" i="1"/>
  <c r="C177" i="1"/>
  <c r="C152" i="1"/>
  <c r="C151" i="1"/>
  <c r="C150" i="1"/>
  <c r="C149" i="1"/>
  <c r="C148" i="1"/>
  <c r="C147" i="1"/>
  <c r="C146" i="1"/>
  <c r="C21" i="1"/>
  <c r="C20" i="1"/>
  <c r="C19" i="1"/>
  <c r="C18" i="1"/>
  <c r="C17" i="1"/>
  <c r="C16" i="1"/>
  <c r="C14" i="1"/>
  <c r="C13" i="1"/>
  <c r="C12" i="1"/>
  <c r="F76" i="24"/>
  <c r="F75" i="24"/>
  <c r="F74" i="24"/>
  <c r="F73" i="24"/>
  <c r="F72" i="24"/>
  <c r="F71" i="24"/>
  <c r="F70" i="24"/>
  <c r="F69" i="24"/>
  <c r="F68" i="24"/>
  <c r="F67" i="24"/>
  <c r="F66" i="24"/>
  <c r="F65" i="24"/>
  <c r="F64" i="24"/>
  <c r="F63" i="24"/>
  <c r="F62" i="24"/>
  <c r="F61" i="24"/>
  <c r="F60" i="24"/>
  <c r="F59" i="24"/>
  <c r="F58" i="24"/>
  <c r="F57" i="24"/>
  <c r="F56" i="24"/>
  <c r="F55" i="24"/>
  <c r="F54" i="24"/>
  <c r="F53" i="24"/>
  <c r="F52" i="24"/>
  <c r="F51" i="24"/>
  <c r="F50" i="24"/>
  <c r="F49" i="24"/>
  <c r="F48" i="24"/>
  <c r="F47" i="24"/>
  <c r="F46" i="24"/>
  <c r="F45" i="24"/>
  <c r="F44" i="24"/>
  <c r="F43" i="24"/>
  <c r="F42" i="24"/>
  <c r="F41" i="24"/>
  <c r="F40" i="24"/>
  <c r="F39" i="24"/>
  <c r="F38" i="24"/>
  <c r="F37" i="24"/>
  <c r="F36" i="24"/>
  <c r="F35" i="24"/>
  <c r="F34" i="24"/>
  <c r="F33" i="24"/>
  <c r="F32" i="24"/>
  <c r="F31" i="24"/>
  <c r="F30" i="24"/>
  <c r="F29" i="24"/>
  <c r="F28" i="24"/>
  <c r="F27" i="24"/>
  <c r="F26" i="24"/>
  <c r="F25" i="24"/>
  <c r="F24" i="24"/>
  <c r="F23" i="24"/>
  <c r="F22" i="24"/>
  <c r="F21" i="24"/>
  <c r="F20" i="24"/>
  <c r="F19" i="24"/>
  <c r="F18" i="24"/>
  <c r="F17" i="24"/>
  <c r="F16" i="24"/>
  <c r="F15" i="24"/>
  <c r="F14" i="24"/>
  <c r="F13" i="24"/>
  <c r="F12" i="24"/>
  <c r="F11" i="24"/>
  <c r="F10" i="24"/>
  <c r="B242" i="9"/>
  <c r="M240" i="9"/>
  <c r="L240" i="9"/>
  <c r="M210" i="9"/>
  <c r="L210" i="9"/>
  <c r="M209" i="9"/>
  <c r="L209" i="9"/>
  <c r="B208" i="9"/>
  <c r="B212" i="9" s="1"/>
  <c r="L203" i="9"/>
  <c r="M202" i="9"/>
  <c r="L202" i="9"/>
  <c r="L196" i="9"/>
  <c r="C194" i="9"/>
  <c r="C199" i="9" s="1" a="1"/>
  <c r="C199" i="9" s="1"/>
  <c r="M80" i="9"/>
  <c r="L80" i="9"/>
  <c r="M185" i="9"/>
  <c r="L185" i="9"/>
  <c r="K181" i="9"/>
  <c r="L181" i="9" s="1"/>
  <c r="G181" i="9"/>
  <c r="M179" i="9"/>
  <c r="L179" i="9"/>
  <c r="G179" i="9"/>
  <c r="M172" i="9"/>
  <c r="L172" i="9"/>
  <c r="M169" i="9"/>
  <c r="L169" i="9"/>
  <c r="K164" i="9"/>
  <c r="M164" i="9" s="1"/>
  <c r="G164" i="9"/>
  <c r="K163" i="9"/>
  <c r="L163" i="9" s="1"/>
  <c r="G163" i="9"/>
  <c r="K162" i="9"/>
  <c r="M162" i="9" s="1"/>
  <c r="G162" i="9"/>
  <c r="M160" i="9"/>
  <c r="L160" i="9"/>
  <c r="M156" i="9"/>
  <c r="E155" i="9"/>
  <c r="E154" i="9"/>
  <c r="E147" i="9"/>
  <c r="I270" i="9" s="1"/>
  <c r="K143" i="9"/>
  <c r="K142" i="9"/>
  <c r="M142" i="9" s="1"/>
  <c r="M141" i="9"/>
  <c r="E140" i="9"/>
  <c r="M139" i="9"/>
  <c r="L139" i="9"/>
  <c r="K136" i="9"/>
  <c r="M136" i="9" s="1"/>
  <c r="M134" i="9"/>
  <c r="L134" i="9"/>
  <c r="D133" i="9"/>
  <c r="M130" i="9"/>
  <c r="L130" i="9"/>
  <c r="M125" i="9"/>
  <c r="L125" i="9"/>
  <c r="C125" i="9"/>
  <c r="P121" i="9"/>
  <c r="H121" i="9"/>
  <c r="P120" i="9"/>
  <c r="H120" i="9"/>
  <c r="P119" i="9"/>
  <c r="H119" i="9"/>
  <c r="P118" i="9"/>
  <c r="H118" i="9"/>
  <c r="E118" i="9"/>
  <c r="E117" i="9"/>
  <c r="P116" i="9"/>
  <c r="H116" i="9"/>
  <c r="E116" i="9"/>
  <c r="P115" i="9"/>
  <c r="H115" i="9"/>
  <c r="E115" i="9"/>
  <c r="P114" i="9"/>
  <c r="P113" i="9"/>
  <c r="H113" i="9"/>
  <c r="E113" i="9"/>
  <c r="P112" i="9"/>
  <c r="H112" i="9"/>
  <c r="E112" i="9"/>
  <c r="P111" i="9"/>
  <c r="H111" i="9"/>
  <c r="E111" i="9"/>
  <c r="M104" i="9"/>
  <c r="L104" i="9"/>
  <c r="M78" i="9"/>
  <c r="L78" i="9"/>
  <c r="H76" i="9"/>
  <c r="I275" i="9" s="1"/>
  <c r="M59" i="9"/>
  <c r="L59" i="9"/>
  <c r="M53" i="9"/>
  <c r="H53" i="9"/>
  <c r="M52" i="9"/>
  <c r="G52" i="9"/>
  <c r="H52" i="9" s="1"/>
  <c r="G51" i="9"/>
  <c r="H51" i="9" s="1"/>
  <c r="G50" i="9"/>
  <c r="H50" i="9" s="1"/>
  <c r="H46" i="9"/>
  <c r="H37" i="9"/>
  <c r="M34" i="9"/>
  <c r="L34" i="9"/>
  <c r="C34" i="9"/>
  <c r="P30" i="9"/>
  <c r="P29" i="9"/>
  <c r="H29" i="9"/>
  <c r="P28" i="9"/>
  <c r="H28" i="9"/>
  <c r="P27" i="9"/>
  <c r="H27" i="9"/>
  <c r="P26" i="9"/>
  <c r="H26" i="9"/>
  <c r="I26" i="9" s="1"/>
  <c r="P23" i="9"/>
  <c r="H23" i="9"/>
  <c r="P22" i="9"/>
  <c r="H22" i="9"/>
  <c r="P21" i="9"/>
  <c r="H21" i="9"/>
  <c r="P20" i="9"/>
  <c r="H20" i="9"/>
  <c r="M15" i="9"/>
  <c r="L15" i="9"/>
  <c r="P11" i="9"/>
  <c r="H11" i="9"/>
  <c r="P10" i="9"/>
  <c r="H10" i="9"/>
  <c r="P9" i="9"/>
  <c r="I9" i="9"/>
  <c r="P8" i="9"/>
  <c r="P7" i="9"/>
  <c r="H7" i="9"/>
  <c r="B4" i="9"/>
  <c r="B354" i="26"/>
  <c r="D350" i="26"/>
  <c r="Q344" i="26"/>
  <c r="Q342" i="26"/>
  <c r="Q340" i="26"/>
  <c r="Q338" i="26"/>
  <c r="Q328" i="26"/>
  <c r="C328" i="26"/>
  <c r="Q326" i="26"/>
  <c r="C326" i="26"/>
  <c r="Q324" i="26"/>
  <c r="C324" i="26"/>
  <c r="Q322" i="26"/>
  <c r="C322" i="26"/>
  <c r="Q320" i="26"/>
  <c r="C320" i="26"/>
  <c r="Q318" i="26"/>
  <c r="C318" i="26"/>
  <c r="B318" i="26"/>
  <c r="B320" i="26" s="1"/>
  <c r="B308" i="26"/>
  <c r="D304" i="26"/>
  <c r="Q298" i="26"/>
  <c r="Q296" i="26"/>
  <c r="Q294" i="26"/>
  <c r="Q292" i="26"/>
  <c r="Q276" i="26"/>
  <c r="Q274" i="26"/>
  <c r="Q272" i="26"/>
  <c r="Q270" i="26"/>
  <c r="Q268" i="26"/>
  <c r="Q266" i="26"/>
  <c r="B266" i="26"/>
  <c r="B256" i="26"/>
  <c r="B205" i="26"/>
  <c r="N199" i="26"/>
  <c r="L199" i="26"/>
  <c r="N197" i="26"/>
  <c r="L403" i="26" s="1"/>
  <c r="K195" i="26"/>
  <c r="N190" i="26"/>
  <c r="L190" i="26"/>
  <c r="L188" i="26"/>
  <c r="K182" i="26"/>
  <c r="H182" i="26"/>
  <c r="H25" i="3" s="1"/>
  <c r="Q181" i="26"/>
  <c r="N179" i="26"/>
  <c r="P250" i="26" s="1"/>
  <c r="L179" i="26"/>
  <c r="N177" i="26"/>
  <c r="L177" i="26"/>
  <c r="Q176" i="26"/>
  <c r="K173" i="26"/>
  <c r="N171" i="26"/>
  <c r="P243" i="26" s="1"/>
  <c r="L171" i="26"/>
  <c r="N169" i="26"/>
  <c r="L169" i="26"/>
  <c r="N167" i="26"/>
  <c r="L167" i="26"/>
  <c r="N164" i="26"/>
  <c r="L164" i="26"/>
  <c r="N162" i="26"/>
  <c r="L162" i="26"/>
  <c r="N159" i="26"/>
  <c r="L159" i="26"/>
  <c r="N156" i="26"/>
  <c r="L156" i="26"/>
  <c r="N153" i="26"/>
  <c r="L153" i="26"/>
  <c r="N151" i="26"/>
  <c r="L151" i="26"/>
  <c r="N148" i="26"/>
  <c r="L148" i="26"/>
  <c r="B143" i="26"/>
  <c r="N139" i="26"/>
  <c r="L139" i="26"/>
  <c r="K137" i="26"/>
  <c r="H137" i="26"/>
  <c r="N134" i="26"/>
  <c r="P234" i="26" s="1"/>
  <c r="L134" i="26"/>
  <c r="N132" i="26"/>
  <c r="L132" i="26"/>
  <c r="N130" i="26"/>
  <c r="L130" i="26"/>
  <c r="N128" i="26"/>
  <c r="L128" i="26"/>
  <c r="N126" i="26"/>
  <c r="L126" i="26"/>
  <c r="N124" i="26"/>
  <c r="L124" i="26"/>
  <c r="N122" i="26"/>
  <c r="L122" i="26"/>
  <c r="N120" i="26"/>
  <c r="L120" i="26"/>
  <c r="N118" i="26"/>
  <c r="L118" i="26"/>
  <c r="N116" i="26"/>
  <c r="L116" i="26"/>
  <c r="N114" i="26"/>
  <c r="L114" i="26"/>
  <c r="N112" i="26"/>
  <c r="L112" i="26"/>
  <c r="N110" i="26"/>
  <c r="P228" i="26" s="1"/>
  <c r="L110" i="26"/>
  <c r="N108" i="26"/>
  <c r="L108" i="26"/>
  <c r="N105" i="26"/>
  <c r="L105" i="26"/>
  <c r="N103" i="26"/>
  <c r="L103" i="26"/>
  <c r="N101" i="26"/>
  <c r="L101" i="26"/>
  <c r="N99" i="26"/>
  <c r="L99" i="26"/>
  <c r="N97" i="26"/>
  <c r="L97" i="26"/>
  <c r="N95" i="26"/>
  <c r="L95" i="26"/>
  <c r="N93" i="26"/>
  <c r="L93" i="26"/>
  <c r="N91" i="26"/>
  <c r="L91" i="26"/>
  <c r="N89" i="26"/>
  <c r="L89" i="26"/>
  <c r="N87" i="26"/>
  <c r="L87" i="26"/>
  <c r="N85" i="26"/>
  <c r="L85" i="26"/>
  <c r="N83" i="26"/>
  <c r="L83" i="26"/>
  <c r="N81" i="26"/>
  <c r="L81" i="26"/>
  <c r="B77" i="26"/>
  <c r="N73" i="26"/>
  <c r="L73" i="26"/>
  <c r="N68" i="26"/>
  <c r="L68" i="26"/>
  <c r="H65" i="26"/>
  <c r="H71" i="26" s="1"/>
  <c r="N63" i="26"/>
  <c r="P221" i="26" s="1"/>
  <c r="L63" i="26"/>
  <c r="N61" i="26"/>
  <c r="L61" i="26"/>
  <c r="N59" i="26"/>
  <c r="L59" i="26"/>
  <c r="N57" i="26"/>
  <c r="L57" i="26"/>
  <c r="N55" i="26"/>
  <c r="L55" i="26"/>
  <c r="N53" i="26"/>
  <c r="P217" i="26" s="1"/>
  <c r="L53" i="26"/>
  <c r="N51" i="26"/>
  <c r="L51" i="26"/>
  <c r="N49" i="26"/>
  <c r="L407" i="26" s="1"/>
  <c r="L49" i="26"/>
  <c r="N47" i="26"/>
  <c r="L47" i="26"/>
  <c r="N45" i="26"/>
  <c r="L45" i="26"/>
  <c r="P39" i="26"/>
  <c r="E11" i="26"/>
  <c r="L1" i="4" l="1"/>
  <c r="D61" i="3"/>
  <c r="K72" i="3"/>
  <c r="K73" i="3" s="1"/>
  <c r="G500" i="1"/>
  <c r="K8" i="2" s="1"/>
  <c r="H504" i="1"/>
  <c r="H506" i="1"/>
  <c r="K1" i="7" s="1"/>
  <c r="H509" i="1"/>
  <c r="M24" i="14"/>
  <c r="H503" i="1"/>
  <c r="G503" i="1"/>
  <c r="G424" i="1"/>
  <c r="G418" i="1"/>
  <c r="G413" i="1"/>
  <c r="G415" i="1"/>
  <c r="G426" i="1"/>
  <c r="L94" i="5" s="1"/>
  <c r="G411" i="1"/>
  <c r="J86" i="3"/>
  <c r="J78" i="3"/>
  <c r="J76" i="3"/>
  <c r="J81" i="3"/>
  <c r="J79" i="3"/>
  <c r="J85" i="3"/>
  <c r="J77" i="3"/>
  <c r="J84" i="3"/>
  <c r="J73" i="3"/>
  <c r="J72" i="3"/>
  <c r="J83" i="3"/>
  <c r="J75" i="3"/>
  <c r="J82" i="3"/>
  <c r="J74" i="3"/>
  <c r="J80" i="3"/>
  <c r="H123" i="9"/>
  <c r="I258" i="9" s="1"/>
  <c r="A215" i="9" a="1"/>
  <c r="A215" i="9" s="1"/>
  <c r="A218" i="9" s="1" a="1"/>
  <c r="A218" i="9" s="1"/>
  <c r="I18" i="3"/>
  <c r="A33" i="4" a="1"/>
  <c r="A33" i="4" s="1"/>
  <c r="A3" i="14" a="1"/>
  <c r="A3" i="14" s="1"/>
  <c r="A50" i="14" s="1" a="1"/>
  <c r="A50" i="14" s="1"/>
  <c r="A64" i="14" s="1" a="1"/>
  <c r="A64" i="14" s="1"/>
  <c r="B269" i="9"/>
  <c r="B273" i="9" s="1"/>
  <c r="G370" i="1"/>
  <c r="G371" i="1"/>
  <c r="H371" i="1" s="1"/>
  <c r="B396" i="1"/>
  <c r="B402" i="1"/>
  <c r="B401" i="1"/>
  <c r="B400" i="1"/>
  <c r="B399" i="1"/>
  <c r="B398" i="1"/>
  <c r="B397" i="1"/>
  <c r="I266" i="9"/>
  <c r="I262" i="9"/>
  <c r="L143" i="9"/>
  <c r="M143" i="9"/>
  <c r="B17" i="9"/>
  <c r="B44" i="9" s="1"/>
  <c r="H55" i="9"/>
  <c r="H57" i="9" s="1"/>
  <c r="I269" i="9" s="1"/>
  <c r="L445" i="26" a="1"/>
  <c r="L445" i="26" s="1"/>
  <c r="L147" i="9"/>
  <c r="O176" i="19" a="1"/>
  <c r="O176" i="19" s="1"/>
  <c r="G157" i="9"/>
  <c r="G156" i="9"/>
  <c r="J22" i="27"/>
  <c r="L22" i="27" s="1"/>
  <c r="C59" i="32" s="1"/>
  <c r="A15" i="32"/>
  <c r="A19" i="32"/>
  <c r="L10" i="27"/>
  <c r="C17" i="32" s="1"/>
  <c r="A53" i="32"/>
  <c r="L21" i="27"/>
  <c r="C55" i="32" s="1"/>
  <c r="I87" i="3"/>
  <c r="I287" i="9" s="1"/>
  <c r="I370" i="1"/>
  <c r="V429" i="1"/>
  <c r="AF413" i="1" s="1"/>
  <c r="A403" i="1"/>
  <c r="A395" i="1"/>
  <c r="A387" i="1"/>
  <c r="L68" i="5"/>
  <c r="C377" i="1"/>
  <c r="L142" i="9"/>
  <c r="J45" i="27"/>
  <c r="L45" i="27" s="1"/>
  <c r="G47" i="5"/>
  <c r="L106" i="5"/>
  <c r="L101" i="5"/>
  <c r="G345" i="1"/>
  <c r="H345" i="1" s="1"/>
  <c r="L429" i="26"/>
  <c r="L441" i="26"/>
  <c r="L472" i="26"/>
  <c r="L428" i="26"/>
  <c r="L401" i="26"/>
  <c r="L46" i="27"/>
  <c r="D30" i="7"/>
  <c r="L44" i="27"/>
  <c r="D35" i="5"/>
  <c r="H113" i="5"/>
  <c r="J32" i="27"/>
  <c r="L34" i="27"/>
  <c r="G348" i="1"/>
  <c r="H348" i="1" s="1"/>
  <c r="J353" i="1"/>
  <c r="H353" i="1" s="1"/>
  <c r="A89" i="5" a="1"/>
  <c r="A89" i="5" s="1"/>
  <c r="A124" i="5" s="1" a="1"/>
  <c r="A124" i="5" s="1"/>
  <c r="L39" i="27" s="1"/>
  <c r="G349" i="1"/>
  <c r="C378" i="1"/>
  <c r="C382" i="1"/>
  <c r="Q15" i="5"/>
  <c r="L405" i="26"/>
  <c r="F342" i="1"/>
  <c r="A63" i="3" a="1"/>
  <c r="A63" i="3" s="1"/>
  <c r="L48" i="5"/>
  <c r="K184" i="26"/>
  <c r="K201" i="26" s="1"/>
  <c r="L442" i="26" s="1"/>
  <c r="B322" i="26"/>
  <c r="B324" i="26" s="1"/>
  <c r="B326" i="26" s="1"/>
  <c r="N137" i="26"/>
  <c r="F140" i="26" s="1"/>
  <c r="P140" i="26" s="1"/>
  <c r="P139" i="26" s="1"/>
  <c r="G40" i="26"/>
  <c r="N173" i="26"/>
  <c r="N182" i="26"/>
  <c r="F189" i="26" s="1"/>
  <c r="N71" i="26"/>
  <c r="H184" i="26"/>
  <c r="E14" i="26"/>
  <c r="E20" i="26" s="1"/>
  <c r="N65" i="26"/>
  <c r="J220" i="24" s="1"/>
  <c r="B268" i="26"/>
  <c r="M58" i="14"/>
  <c r="C16" i="14"/>
  <c r="E149" i="9"/>
  <c r="H32" i="3" s="1"/>
  <c r="J87" i="3"/>
  <c r="D138" i="9" a="1"/>
  <c r="D138" i="9" s="1"/>
  <c r="D146" i="9" s="1" a="1"/>
  <c r="D146" i="9" s="1"/>
  <c r="L136" i="9"/>
  <c r="L141" i="9"/>
  <c r="M203" i="9"/>
  <c r="A94" i="2" a="1"/>
  <c r="A94" i="2" s="1"/>
  <c r="A105" i="2" s="1" a="1"/>
  <c r="A105" i="2" s="1"/>
  <c r="C129" i="9" a="1"/>
  <c r="C129" i="9" s="1"/>
  <c r="L156" i="9"/>
  <c r="M163" i="9"/>
  <c r="L162" i="9"/>
  <c r="L164" i="9"/>
  <c r="M181" i="9"/>
  <c r="M196" i="9"/>
  <c r="G46" i="5"/>
  <c r="M86" i="3"/>
  <c r="E30" i="9"/>
  <c r="M81" i="3"/>
  <c r="L76" i="3"/>
  <c r="L52" i="9"/>
  <c r="L51" i="9"/>
  <c r="L53" i="9"/>
  <c r="G122" i="5"/>
  <c r="O78" i="19" a="1"/>
  <c r="O78" i="19" s="1"/>
  <c r="O87" i="19" a="1"/>
  <c r="O87" i="19" s="1"/>
  <c r="O94" i="19" a="1"/>
  <c r="O94" i="19" s="1"/>
  <c r="O103" i="19" a="1"/>
  <c r="O103" i="19" s="1"/>
  <c r="O110" i="19" a="1"/>
  <c r="O110" i="19" s="1"/>
  <c r="O119" i="19" a="1"/>
  <c r="O119" i="19" s="1"/>
  <c r="O126" i="19" a="1"/>
  <c r="O126" i="19" s="1"/>
  <c r="O135" i="19" a="1"/>
  <c r="O135" i="19" s="1"/>
  <c r="O142" i="19" a="1"/>
  <c r="O142" i="19" s="1"/>
  <c r="O151" i="19" a="1"/>
  <c r="O151" i="19" s="1"/>
  <c r="O158" i="19" a="1"/>
  <c r="O158" i="19" s="1"/>
  <c r="O167" i="19" a="1"/>
  <c r="O167" i="19" s="1"/>
  <c r="O174" i="19" a="1"/>
  <c r="O174" i="19" s="1"/>
  <c r="O24" i="19" a="1"/>
  <c r="O24" i="19" s="1"/>
  <c r="O26" i="19" a="1"/>
  <c r="O26" i="19" s="1"/>
  <c r="O28" i="19" a="1"/>
  <c r="O28" i="19" s="1"/>
  <c r="O30" i="19" a="1"/>
  <c r="O30" i="19" s="1"/>
  <c r="O32" i="19" a="1"/>
  <c r="O32" i="19" s="1"/>
  <c r="O34" i="19" a="1"/>
  <c r="O34" i="19" s="1"/>
  <c r="O36" i="19" a="1"/>
  <c r="O36" i="19" s="1"/>
  <c r="O38" i="19" a="1"/>
  <c r="O38" i="19" s="1"/>
  <c r="O40" i="19" a="1"/>
  <c r="O40" i="19" s="1"/>
  <c r="O42" i="19" a="1"/>
  <c r="O42" i="19" s="1"/>
  <c r="O44" i="19" a="1"/>
  <c r="O44" i="19" s="1"/>
  <c r="O46" i="19" a="1"/>
  <c r="O46" i="19" s="1"/>
  <c r="O48" i="19" a="1"/>
  <c r="O48" i="19" s="1"/>
  <c r="O50" i="19" a="1"/>
  <c r="O50" i="19" s="1"/>
  <c r="O52" i="19" a="1"/>
  <c r="O52" i="19" s="1"/>
  <c r="O54" i="19" a="1"/>
  <c r="O54" i="19" s="1"/>
  <c r="O56" i="19" a="1"/>
  <c r="O56" i="19" s="1"/>
  <c r="O58" i="19" a="1"/>
  <c r="O58" i="19" s="1"/>
  <c r="O60" i="19" a="1"/>
  <c r="O60" i="19" s="1"/>
  <c r="O62" i="19" a="1"/>
  <c r="O62" i="19" s="1"/>
  <c r="O64" i="19" a="1"/>
  <c r="O64" i="19" s="1"/>
  <c r="O66" i="19" a="1"/>
  <c r="O66" i="19" s="1"/>
  <c r="O68" i="19" a="1"/>
  <c r="O68" i="19" s="1"/>
  <c r="O70" i="19" a="1"/>
  <c r="O70" i="19" s="1"/>
  <c r="O72" i="19" a="1"/>
  <c r="O72" i="19" s="1"/>
  <c r="O74" i="19" a="1"/>
  <c r="O74" i="19" s="1"/>
  <c r="O76" i="19" a="1"/>
  <c r="O76" i="19" s="1"/>
  <c r="O85" i="19" a="1"/>
  <c r="O85" i="19" s="1"/>
  <c r="O92" i="19" a="1"/>
  <c r="O92" i="19" s="1"/>
  <c r="O101" i="19" a="1"/>
  <c r="O101" i="19" s="1"/>
  <c r="O108" i="19" a="1"/>
  <c r="O108" i="19" s="1"/>
  <c r="O117" i="19" a="1"/>
  <c r="O117" i="19" s="1"/>
  <c r="O124" i="19" a="1"/>
  <c r="O124" i="19" s="1"/>
  <c r="O133" i="19" a="1"/>
  <c r="O133" i="19" s="1"/>
  <c r="O140" i="19" a="1"/>
  <c r="O140" i="19" s="1"/>
  <c r="O149" i="19" a="1"/>
  <c r="O149" i="19" s="1"/>
  <c r="O156" i="19" a="1"/>
  <c r="O156" i="19" s="1"/>
  <c r="O165" i="19" a="1"/>
  <c r="O165" i="19" s="1"/>
  <c r="O172" i="19" a="1"/>
  <c r="O172" i="19" s="1"/>
  <c r="O181" i="19" a="1"/>
  <c r="O181" i="19" s="1"/>
  <c r="O83" i="19" a="1"/>
  <c r="O83" i="19" s="1"/>
  <c r="O90" i="19" a="1"/>
  <c r="O90" i="19" s="1"/>
  <c r="O99" i="19" a="1"/>
  <c r="O99" i="19" s="1"/>
  <c r="O106" i="19" a="1"/>
  <c r="O106" i="19" s="1"/>
  <c r="O115" i="19" a="1"/>
  <c r="O115" i="19" s="1"/>
  <c r="O122" i="19" a="1"/>
  <c r="O122" i="19" s="1"/>
  <c r="O131" i="19" a="1"/>
  <c r="O131" i="19" s="1"/>
  <c r="O138" i="19" a="1"/>
  <c r="O138" i="19" s="1"/>
  <c r="O147" i="19" a="1"/>
  <c r="O147" i="19" s="1"/>
  <c r="O154" i="19" a="1"/>
  <c r="O154" i="19" s="1"/>
  <c r="O163" i="19" a="1"/>
  <c r="O163" i="19" s="1"/>
  <c r="O170" i="19" a="1"/>
  <c r="O170" i="19" s="1"/>
  <c r="O179" i="19" a="1"/>
  <c r="O179" i="19" s="1"/>
  <c r="O81" i="19" a="1"/>
  <c r="O81" i="19" s="1"/>
  <c r="O88" i="19" a="1"/>
  <c r="O88" i="19" s="1"/>
  <c r="O97" i="19" a="1"/>
  <c r="O97" i="19" s="1"/>
  <c r="O104" i="19" a="1"/>
  <c r="O104" i="19" s="1"/>
  <c r="O113" i="19" a="1"/>
  <c r="O113" i="19" s="1"/>
  <c r="O120" i="19" a="1"/>
  <c r="O120" i="19" s="1"/>
  <c r="O129" i="19" a="1"/>
  <c r="O129" i="19" s="1"/>
  <c r="O136" i="19" a="1"/>
  <c r="O136" i="19" s="1"/>
  <c r="O145" i="19" a="1"/>
  <c r="O145" i="19" s="1"/>
  <c r="O152" i="19" a="1"/>
  <c r="O152" i="19" s="1"/>
  <c r="O161" i="19" a="1"/>
  <c r="O161" i="19" s="1"/>
  <c r="O168" i="19" a="1"/>
  <c r="O168" i="19" s="1"/>
  <c r="O177" i="19" a="1"/>
  <c r="O177" i="19" s="1"/>
  <c r="O79" i="19" a="1"/>
  <c r="O79" i="19" s="1"/>
  <c r="O86" i="19" a="1"/>
  <c r="O86" i="19" s="1"/>
  <c r="O95" i="19" a="1"/>
  <c r="O95" i="19" s="1"/>
  <c r="O102" i="19" a="1"/>
  <c r="O102" i="19" s="1"/>
  <c r="O111" i="19" a="1"/>
  <c r="O111" i="19" s="1"/>
  <c r="O118" i="19" a="1"/>
  <c r="O118" i="19" s="1"/>
  <c r="O127" i="19" a="1"/>
  <c r="O127" i="19" s="1"/>
  <c r="O134" i="19" a="1"/>
  <c r="O134" i="19" s="1"/>
  <c r="O143" i="19" a="1"/>
  <c r="O143" i="19" s="1"/>
  <c r="O150" i="19" a="1"/>
  <c r="O150" i="19" s="1"/>
  <c r="O159" i="19" a="1"/>
  <c r="O159" i="19" s="1"/>
  <c r="O166" i="19" a="1"/>
  <c r="O166" i="19" s="1"/>
  <c r="O175" i="19" a="1"/>
  <c r="O175" i="19" s="1"/>
  <c r="O23" i="19" a="1"/>
  <c r="O23" i="19" s="1"/>
  <c r="O25" i="19" a="1"/>
  <c r="O25" i="19" s="1"/>
  <c r="O27" i="19" a="1"/>
  <c r="O27" i="19" s="1"/>
  <c r="O29" i="19" a="1"/>
  <c r="O29" i="19" s="1"/>
  <c r="O31" i="19" a="1"/>
  <c r="O31" i="19" s="1"/>
  <c r="O33" i="19" a="1"/>
  <c r="O33" i="19" s="1"/>
  <c r="O35" i="19" a="1"/>
  <c r="O35" i="19" s="1"/>
  <c r="O37" i="19" a="1"/>
  <c r="O37" i="19" s="1"/>
  <c r="O39" i="19" a="1"/>
  <c r="O39" i="19" s="1"/>
  <c r="O41" i="19" a="1"/>
  <c r="O41" i="19" s="1"/>
  <c r="O43" i="19" a="1"/>
  <c r="O43" i="19" s="1"/>
  <c r="O45" i="19" a="1"/>
  <c r="O45" i="19" s="1"/>
  <c r="O47" i="19" a="1"/>
  <c r="O47" i="19" s="1"/>
  <c r="O49" i="19" a="1"/>
  <c r="O49" i="19" s="1"/>
  <c r="O51" i="19" a="1"/>
  <c r="O51" i="19" s="1"/>
  <c r="O53" i="19" a="1"/>
  <c r="O53" i="19" s="1"/>
  <c r="O55" i="19" a="1"/>
  <c r="O55" i="19" s="1"/>
  <c r="O57" i="19" a="1"/>
  <c r="O57" i="19" s="1"/>
  <c r="O59" i="19" a="1"/>
  <c r="O59" i="19" s="1"/>
  <c r="O61" i="19" a="1"/>
  <c r="O61" i="19" s="1"/>
  <c r="O63" i="19" a="1"/>
  <c r="O63" i="19" s="1"/>
  <c r="O65" i="19" a="1"/>
  <c r="O65" i="19" s="1"/>
  <c r="O67" i="19" a="1"/>
  <c r="O67" i="19" s="1"/>
  <c r="O69" i="19" a="1"/>
  <c r="O69" i="19" s="1"/>
  <c r="O71" i="19" a="1"/>
  <c r="O71" i="19" s="1"/>
  <c r="O73" i="19" a="1"/>
  <c r="O73" i="19" s="1"/>
  <c r="O75" i="19" a="1"/>
  <c r="O75" i="19" s="1"/>
  <c r="O77" i="19" a="1"/>
  <c r="O77" i="19" s="1"/>
  <c r="O84" i="19" a="1"/>
  <c r="O84" i="19" s="1"/>
  <c r="O93" i="19" a="1"/>
  <c r="O93" i="19" s="1"/>
  <c r="O100" i="19" a="1"/>
  <c r="O100" i="19" s="1"/>
  <c r="O109" i="19" a="1"/>
  <c r="O109" i="19" s="1"/>
  <c r="O116" i="19" a="1"/>
  <c r="O116" i="19" s="1"/>
  <c r="O125" i="19" a="1"/>
  <c r="O125" i="19" s="1"/>
  <c r="O132" i="19" a="1"/>
  <c r="O132" i="19" s="1"/>
  <c r="O141" i="19" a="1"/>
  <c r="O141" i="19" s="1"/>
  <c r="O148" i="19" a="1"/>
  <c r="O148" i="19" s="1"/>
  <c r="O157" i="19" a="1"/>
  <c r="O157" i="19" s="1"/>
  <c r="O164" i="19" a="1"/>
  <c r="O164" i="19" s="1"/>
  <c r="O173" i="19" a="1"/>
  <c r="O173" i="19" s="1"/>
  <c r="O180" i="19" a="1"/>
  <c r="O180" i="19" s="1"/>
  <c r="O82" i="19" a="1"/>
  <c r="O82" i="19" s="1"/>
  <c r="O91" i="19" a="1"/>
  <c r="O91" i="19" s="1"/>
  <c r="O98" i="19" a="1"/>
  <c r="O98" i="19" s="1"/>
  <c r="O107" i="19" a="1"/>
  <c r="O107" i="19" s="1"/>
  <c r="O114" i="19" a="1"/>
  <c r="O114" i="19" s="1"/>
  <c r="O123" i="19" a="1"/>
  <c r="O123" i="19" s="1"/>
  <c r="O130" i="19" a="1"/>
  <c r="O130" i="19" s="1"/>
  <c r="O139" i="19" a="1"/>
  <c r="O139" i="19" s="1"/>
  <c r="O146" i="19" a="1"/>
  <c r="O146" i="19" s="1"/>
  <c r="O155" i="19" a="1"/>
  <c r="O155" i="19" s="1"/>
  <c r="O162" i="19" a="1"/>
  <c r="O162" i="19" s="1"/>
  <c r="O171" i="19" a="1"/>
  <c r="O171" i="19" s="1"/>
  <c r="O178" i="19" a="1"/>
  <c r="O178" i="19" s="1"/>
  <c r="O80" i="19" a="1"/>
  <c r="O80" i="19" s="1"/>
  <c r="O89" i="19" a="1"/>
  <c r="O89" i="19" s="1"/>
  <c r="O96" i="19" a="1"/>
  <c r="O96" i="19" s="1"/>
  <c r="O105" i="19" a="1"/>
  <c r="O105" i="19" s="1"/>
  <c r="O112" i="19" a="1"/>
  <c r="O112" i="19" s="1"/>
  <c r="O121" i="19" a="1"/>
  <c r="O121" i="19" s="1"/>
  <c r="O128" i="19" a="1"/>
  <c r="O128" i="19" s="1"/>
  <c r="O137" i="19" a="1"/>
  <c r="O137" i="19" s="1"/>
  <c r="O144" i="19" a="1"/>
  <c r="O144" i="19" s="1"/>
  <c r="O153" i="19" a="1"/>
  <c r="O153" i="19" s="1"/>
  <c r="O160" i="19" a="1"/>
  <c r="O160" i="19" s="1"/>
  <c r="O169" i="19" a="1"/>
  <c r="O169" i="19" s="1"/>
  <c r="L82" i="3"/>
  <c r="L29" i="14"/>
  <c r="M25" i="14"/>
  <c r="L24" i="14"/>
  <c r="L28" i="14"/>
  <c r="M27" i="14"/>
  <c r="M26" i="14"/>
  <c r="M44" i="14"/>
  <c r="M46" i="14"/>
  <c r="L45" i="14"/>
  <c r="F12" i="1"/>
  <c r="F150" i="1"/>
  <c r="F262" i="1"/>
  <c r="F432" i="1"/>
  <c r="F334" i="1"/>
  <c r="F541" i="1"/>
  <c r="F20" i="1"/>
  <c r="F131" i="1"/>
  <c r="F240" i="1"/>
  <c r="F132" i="1"/>
  <c r="F152" i="1"/>
  <c r="F340" i="1"/>
  <c r="F81" i="1"/>
  <c r="F14" i="1"/>
  <c r="F17" i="1"/>
  <c r="F21" i="1"/>
  <c r="F149" i="1"/>
  <c r="F177" i="1"/>
  <c r="F181" i="1"/>
  <c r="F185" i="1"/>
  <c r="F189" i="1"/>
  <c r="F193" i="1"/>
  <c r="F197" i="1"/>
  <c r="F201" i="1"/>
  <c r="F205" i="1"/>
  <c r="F209" i="1"/>
  <c r="F213" i="1"/>
  <c r="F217" i="1"/>
  <c r="F221" i="1"/>
  <c r="F225" i="1"/>
  <c r="F229" i="1"/>
  <c r="F233" i="1"/>
  <c r="F237" i="1"/>
  <c r="F241" i="1"/>
  <c r="F255" i="1"/>
  <c r="F259" i="1"/>
  <c r="F263" i="1"/>
  <c r="F335" i="1"/>
  <c r="F341" i="1"/>
  <c r="F542" i="1"/>
  <c r="F433" i="1"/>
  <c r="F85" i="1"/>
  <c r="F89" i="1"/>
  <c r="F93" i="1"/>
  <c r="F97" i="1"/>
  <c r="F101" i="1"/>
  <c r="F105" i="1"/>
  <c r="F109" i="1"/>
  <c r="F113" i="1"/>
  <c r="F117" i="1"/>
  <c r="F121" i="1"/>
  <c r="F125" i="1"/>
  <c r="F129" i="1"/>
  <c r="F133" i="1"/>
  <c r="F13" i="1"/>
  <c r="F18" i="1"/>
  <c r="F146" i="1"/>
  <c r="F178" i="1"/>
  <c r="F182" i="1"/>
  <c r="F186" i="1"/>
  <c r="F190" i="1"/>
  <c r="F194" i="1"/>
  <c r="F198" i="1"/>
  <c r="F202" i="1"/>
  <c r="F206" i="1"/>
  <c r="F210" i="1"/>
  <c r="F214" i="1"/>
  <c r="F218" i="1"/>
  <c r="F222" i="1"/>
  <c r="F226" i="1"/>
  <c r="F230" i="1"/>
  <c r="F234" i="1"/>
  <c r="F238" i="1"/>
  <c r="F242" i="1"/>
  <c r="F256" i="1"/>
  <c r="F260" i="1"/>
  <c r="F264" i="1"/>
  <c r="F336" i="1"/>
  <c r="F539" i="1"/>
  <c r="F80" i="1"/>
  <c r="F434" i="1"/>
  <c r="F86" i="1"/>
  <c r="F90" i="1"/>
  <c r="F94" i="1"/>
  <c r="F98" i="1"/>
  <c r="F102" i="1"/>
  <c r="F106" i="1"/>
  <c r="F110" i="1"/>
  <c r="F114" i="1"/>
  <c r="F118" i="1"/>
  <c r="F122" i="1"/>
  <c r="F126" i="1"/>
  <c r="F130" i="1"/>
  <c r="F134" i="1"/>
  <c r="F15" i="1"/>
  <c r="F19" i="1"/>
  <c r="F147" i="1"/>
  <c r="F151" i="1"/>
  <c r="F179" i="1"/>
  <c r="F183" i="1"/>
  <c r="F187" i="1"/>
  <c r="F191" i="1"/>
  <c r="F195" i="1"/>
  <c r="F199" i="1"/>
  <c r="F203" i="1"/>
  <c r="F207" i="1"/>
  <c r="F211" i="1"/>
  <c r="F215" i="1"/>
  <c r="F219" i="1"/>
  <c r="F223" i="1"/>
  <c r="F227" i="1"/>
  <c r="F231" i="1"/>
  <c r="F235" i="1"/>
  <c r="F239" i="1"/>
  <c r="F243" i="1"/>
  <c r="F257" i="1"/>
  <c r="F261" i="1"/>
  <c r="F265" i="1"/>
  <c r="F339" i="1"/>
  <c r="F540" i="1"/>
  <c r="F435" i="1"/>
  <c r="F87" i="1"/>
  <c r="F91" i="1"/>
  <c r="F95" i="1"/>
  <c r="F99" i="1"/>
  <c r="F103" i="1"/>
  <c r="F107" i="1"/>
  <c r="F111" i="1"/>
  <c r="F115" i="1"/>
  <c r="F119" i="1"/>
  <c r="F123" i="1"/>
  <c r="F127" i="1"/>
  <c r="F16" i="1"/>
  <c r="F148" i="1"/>
  <c r="F180" i="1"/>
  <c r="F184" i="1"/>
  <c r="F188" i="1"/>
  <c r="F192" i="1"/>
  <c r="F196" i="1"/>
  <c r="F200" i="1"/>
  <c r="F204" i="1"/>
  <c r="F208" i="1"/>
  <c r="F212" i="1"/>
  <c r="F216" i="1"/>
  <c r="F220" i="1"/>
  <c r="F224" i="1"/>
  <c r="F228" i="1"/>
  <c r="F232" i="1"/>
  <c r="F236" i="1"/>
  <c r="F254" i="1"/>
  <c r="F258" i="1"/>
  <c r="F84" i="1"/>
  <c r="F88" i="1"/>
  <c r="F92" i="1"/>
  <c r="F96" i="1"/>
  <c r="F100" i="1"/>
  <c r="F104" i="1"/>
  <c r="F108" i="1"/>
  <c r="F112" i="1"/>
  <c r="F116" i="1"/>
  <c r="F120" i="1"/>
  <c r="F124" i="1"/>
  <c r="F128" i="1"/>
  <c r="K74" i="3" l="1"/>
  <c r="C105" i="24"/>
  <c r="H66" i="9" s="1" a="1"/>
  <c r="H66" i="9" s="1"/>
  <c r="H68" i="9" s="1"/>
  <c r="K1" i="14"/>
  <c r="M72" i="3"/>
  <c r="L95" i="5"/>
  <c r="I107" i="24"/>
  <c r="C107" i="24" s="1"/>
  <c r="H87" i="9" s="1"/>
  <c r="L72" i="3"/>
  <c r="L73" i="3"/>
  <c r="M73" i="3"/>
  <c r="A136" i="2" a="1"/>
  <c r="A136" i="2" s="1"/>
  <c r="A36" i="32" s="1"/>
  <c r="B275" i="9"/>
  <c r="B277" i="9" s="1"/>
  <c r="H370" i="1"/>
  <c r="I234" i="9"/>
  <c r="I259" i="9"/>
  <c r="I271" i="9"/>
  <c r="B61" i="9"/>
  <c r="B74" i="9" s="1"/>
  <c r="L50" i="27"/>
  <c r="D151" i="9" a="1"/>
  <c r="D151" i="9" s="1"/>
  <c r="D159" i="9" s="1" a="1"/>
  <c r="D159" i="9" s="1"/>
  <c r="A25" i="32"/>
  <c r="L15" i="27"/>
  <c r="C30" i="32" s="1"/>
  <c r="G351" i="1"/>
  <c r="G352" i="1"/>
  <c r="H352" i="1"/>
  <c r="H351" i="1"/>
  <c r="AF415" i="1"/>
  <c r="AF416" i="1"/>
  <c r="AF421" i="1"/>
  <c r="AF411" i="1"/>
  <c r="AF426" i="1"/>
  <c r="AF423" i="1"/>
  <c r="AF417" i="1"/>
  <c r="L38" i="5"/>
  <c r="L399" i="26"/>
  <c r="P188" i="26"/>
  <c r="Q139" i="26"/>
  <c r="H3" i="4"/>
  <c r="F324" i="1" s="1"/>
  <c r="F74" i="26"/>
  <c r="P74" i="26" s="1"/>
  <c r="F69" i="26"/>
  <c r="P69" i="26" s="1"/>
  <c r="L14" i="27"/>
  <c r="C27" i="32" s="1"/>
  <c r="L431" i="26"/>
  <c r="L444" i="26" s="1"/>
  <c r="L440" i="26"/>
  <c r="L427" i="26"/>
  <c r="L430" i="26" s="1"/>
  <c r="L47" i="27"/>
  <c r="L49" i="27"/>
  <c r="H33" i="3"/>
  <c r="J38" i="27"/>
  <c r="H349" i="1"/>
  <c r="H350" i="1"/>
  <c r="A127" i="5" a="1"/>
  <c r="A127" i="5" s="1"/>
  <c r="L32" i="27"/>
  <c r="L376" i="26"/>
  <c r="L385" i="26" s="1"/>
  <c r="N184" i="26"/>
  <c r="H24" i="3"/>
  <c r="H26" i="3" s="1"/>
  <c r="H27" i="3" s="1"/>
  <c r="H31" i="3"/>
  <c r="B328" i="26"/>
  <c r="Q199" i="26"/>
  <c r="B270" i="26"/>
  <c r="E28" i="26"/>
  <c r="E32" i="26" s="1"/>
  <c r="M204" i="9"/>
  <c r="L204" i="9"/>
  <c r="A163" i="2" l="1" a="1"/>
  <c r="A163" i="2" s="1"/>
  <c r="K75" i="3"/>
  <c r="K79" i="3" s="1"/>
  <c r="K80" i="3" s="1"/>
  <c r="M74" i="3"/>
  <c r="L74" i="3"/>
  <c r="F316" i="1"/>
  <c r="L3" i="5" s="1" a="1"/>
  <c r="L3" i="5" s="1"/>
  <c r="J31" i="27"/>
  <c r="L31" i="27" s="1"/>
  <c r="H91" i="9"/>
  <c r="I93" i="9" s="1"/>
  <c r="H64" i="9" s="1"/>
  <c r="H89" i="9"/>
  <c r="B279" i="9"/>
  <c r="B281" i="9"/>
  <c r="B284" i="9" s="1"/>
  <c r="F191" i="26"/>
  <c r="P190" i="26" s="1"/>
  <c r="F194" i="26"/>
  <c r="L272" i="1"/>
  <c r="C300" i="1"/>
  <c r="L271" i="1"/>
  <c r="C301" i="1"/>
  <c r="L270" i="1"/>
  <c r="C299" i="1"/>
  <c r="C293" i="1"/>
  <c r="C273" i="1" s="1"/>
  <c r="C271" i="1" s="1"/>
  <c r="C291" i="1" s="1"/>
  <c r="C290" i="1"/>
  <c r="I43" i="14"/>
  <c r="I45" i="14"/>
  <c r="I44" i="14"/>
  <c r="I46" i="14"/>
  <c r="J35" i="27"/>
  <c r="L35" i="27" s="1"/>
  <c r="J37" i="27"/>
  <c r="L37" i="27" s="1"/>
  <c r="B80" i="9"/>
  <c r="L386" i="26"/>
  <c r="L389" i="26" s="1"/>
  <c r="L38" i="27"/>
  <c r="J36" i="27"/>
  <c r="L36" i="27" s="1"/>
  <c r="I24" i="14"/>
  <c r="E31" i="14" s="1"/>
  <c r="H69" i="14" s="1"/>
  <c r="H81" i="14" s="1"/>
  <c r="P68" i="26"/>
  <c r="Q68" i="26"/>
  <c r="P73" i="26"/>
  <c r="Q73" i="26"/>
  <c r="L433" i="26"/>
  <c r="L435" i="26" s="1"/>
  <c r="L380" i="26"/>
  <c r="L51" i="27"/>
  <c r="B272" i="26"/>
  <c r="L205" i="9"/>
  <c r="M205" i="9"/>
  <c r="B287" i="9" l="1"/>
  <c r="L79" i="3"/>
  <c r="L75" i="3"/>
  <c r="M75" i="3"/>
  <c r="B5" i="19"/>
  <c r="I277" i="9"/>
  <c r="L93" i="9"/>
  <c r="B84" i="9"/>
  <c r="B95" i="9" s="1"/>
  <c r="B106" i="9" s="1"/>
  <c r="B185" i="9" s="1"/>
  <c r="B192" i="9" s="1"/>
  <c r="D300" i="1"/>
  <c r="D301" i="1"/>
  <c r="D299" i="1"/>
  <c r="D302" i="1"/>
  <c r="E47" i="14"/>
  <c r="F196" i="26"/>
  <c r="L390" i="26"/>
  <c r="L391" i="26" s="1"/>
  <c r="N193" i="26"/>
  <c r="H195" i="26"/>
  <c r="N195" i="26" s="1"/>
  <c r="B274" i="26"/>
  <c r="B276" i="26" s="1"/>
  <c r="M79" i="3" l="1"/>
  <c r="A67" i="3" a="1"/>
  <c r="A67" i="3" s="1"/>
  <c r="F58" i="3" s="1"/>
  <c r="G509" i="1"/>
  <c r="K1" i="9" s="1"/>
  <c r="A5" i="19"/>
  <c r="C278" i="26"/>
  <c r="C330" i="26" s="1"/>
  <c r="B330" i="26"/>
  <c r="C277" i="1"/>
  <c r="C280" i="1" s="1"/>
  <c r="L52" i="27"/>
  <c r="H70" i="14"/>
  <c r="H73" i="14" s="1"/>
  <c r="H82" i="14" s="1"/>
  <c r="L54" i="27"/>
  <c r="L53" i="27"/>
  <c r="L393" i="26"/>
  <c r="H201" i="26"/>
  <c r="L471" i="26" s="1"/>
  <c r="B278" i="26"/>
  <c r="I85" i="9" l="1" a="1"/>
  <c r="I85" i="9" s="1"/>
  <c r="C287" i="9"/>
  <c r="I63" i="9" a="1"/>
  <c r="I63" i="9" s="1"/>
  <c r="A57" i="32"/>
  <c r="I5" i="3"/>
  <c r="M80" i="3"/>
  <c r="L80" i="3"/>
  <c r="G501" i="1"/>
  <c r="F5" i="19"/>
  <c r="K278" i="26" s="1"/>
  <c r="K330" i="26" s="1"/>
  <c r="D5" i="19"/>
  <c r="B6" i="19"/>
  <c r="B280" i="26" s="1"/>
  <c r="C288" i="1"/>
  <c r="C284" i="1"/>
  <c r="H83" i="14"/>
  <c r="C286" i="1"/>
  <c r="C282" i="1"/>
  <c r="C287" i="1"/>
  <c r="C283" i="1"/>
  <c r="P189" i="26"/>
  <c r="P191" i="26"/>
  <c r="P195" i="26"/>
  <c r="N201" i="26"/>
  <c r="H30" i="9" s="1"/>
  <c r="L473" i="26"/>
  <c r="L476" i="26" s="1"/>
  <c r="R298" i="26"/>
  <c r="R344" i="26"/>
  <c r="F33" i="5"/>
  <c r="H116" i="5" s="1"/>
  <c r="F32" i="5"/>
  <c r="C289" i="9" s="1"/>
  <c r="L43" i="14"/>
  <c r="M43" i="14"/>
  <c r="H501" i="1" l="1"/>
  <c r="H515" i="1" s="1"/>
  <c r="A6" i="19"/>
  <c r="F6" i="19" s="1"/>
  <c r="C280" i="26"/>
  <c r="C332" i="26" s="1"/>
  <c r="B332" i="26"/>
  <c r="E65" i="9"/>
  <c r="B389" i="1"/>
  <c r="B388" i="1"/>
  <c r="B394" i="1"/>
  <c r="B393" i="1"/>
  <c r="B392" i="1"/>
  <c r="B391" i="1"/>
  <c r="B390" i="1"/>
  <c r="J48" i="9"/>
  <c r="I48" i="9"/>
  <c r="H262" i="26"/>
  <c r="P196" i="26"/>
  <c r="Q195" i="26" s="1"/>
  <c r="H314" i="26"/>
  <c r="L439" i="26"/>
  <c r="L443" i="26" s="1"/>
  <c r="L446" i="26" s="1"/>
  <c r="L448" i="26" s="1"/>
  <c r="L450" i="26" s="1"/>
  <c r="L464" i="26" s="1"/>
  <c r="L454" i="26"/>
  <c r="L397" i="26"/>
  <c r="L409" i="26" s="1"/>
  <c r="L411" i="26" s="1"/>
  <c r="L413" i="26" s="1"/>
  <c r="J59" i="27" s="1"/>
  <c r="L59" i="27" s="1"/>
  <c r="H34" i="3"/>
  <c r="I28" i="3" s="1"/>
  <c r="I116" i="5"/>
  <c r="K116" i="5" s="1"/>
  <c r="I8" i="9"/>
  <c r="H8" i="9"/>
  <c r="H13" i="9" s="1"/>
  <c r="I261" i="9" s="1"/>
  <c r="L32" i="5" a="1"/>
  <c r="L32" i="5" s="1"/>
  <c r="G113" i="5"/>
  <c r="K1" i="3" l="1"/>
  <c r="D6" i="19"/>
  <c r="B7" i="19"/>
  <c r="K280" i="26"/>
  <c r="K332" i="26" s="1"/>
  <c r="H70" i="9"/>
  <c r="N273" i="9" s="1"/>
  <c r="H35" i="3"/>
  <c r="I263" i="9"/>
  <c r="P414" i="26"/>
  <c r="K94" i="5"/>
  <c r="J94" i="5" s="1"/>
  <c r="H117" i="5"/>
  <c r="K95" i="5" s="1"/>
  <c r="J95" i="5" s="1"/>
  <c r="A7" i="19" l="1"/>
  <c r="F7" i="19" s="1"/>
  <c r="C282" i="26"/>
  <c r="C334" i="26" s="1"/>
  <c r="B334" i="26"/>
  <c r="B282" i="26"/>
  <c r="H25" i="9"/>
  <c r="H32" i="9" s="1"/>
  <c r="J20" i="27"/>
  <c r="L20" i="27" s="1"/>
  <c r="C50" i="32" s="1"/>
  <c r="H36" i="3"/>
  <c r="J111" i="5"/>
  <c r="I117" i="5"/>
  <c r="K117" i="5" s="1"/>
  <c r="H118" i="5"/>
  <c r="K96" i="5" s="1"/>
  <c r="N265" i="9" l="1"/>
  <c r="N279" i="9" s="1"/>
  <c r="B255" i="9" s="1"/>
  <c r="G5" i="19"/>
  <c r="J224" i="24"/>
  <c r="J225" i="24"/>
  <c r="D7" i="19"/>
  <c r="K282" i="26"/>
  <c r="K334" i="26" s="1"/>
  <c r="B8" i="19"/>
  <c r="I265" i="9"/>
  <c r="I267" i="9" s="1"/>
  <c r="H119" i="5"/>
  <c r="K99" i="5" s="1"/>
  <c r="I118" i="5"/>
  <c r="K118" i="5" s="1"/>
  <c r="B336" i="26" l="1"/>
  <c r="A8" i="19"/>
  <c r="F8" i="19" s="1"/>
  <c r="C284" i="26"/>
  <c r="C336" i="26" s="1"/>
  <c r="H284" i="26"/>
  <c r="B284" i="26"/>
  <c r="H120" i="5"/>
  <c r="K104" i="5" s="1"/>
  <c r="K111" i="5" s="1"/>
  <c r="I119" i="5"/>
  <c r="B294" i="26" l="1"/>
  <c r="B296" i="26" s="1"/>
  <c r="B298" i="26" s="1"/>
  <c r="B300" i="26" s="1"/>
  <c r="D303" i="26" s="1"/>
  <c r="G8" i="19"/>
  <c r="D8" i="19"/>
  <c r="K284" i="26"/>
  <c r="K336" i="26" s="1"/>
  <c r="Q284" i="26"/>
  <c r="H336" i="26"/>
  <c r="Q336" i="26" s="1"/>
  <c r="B340" i="26"/>
  <c r="H122" i="5"/>
  <c r="Q89" i="5" s="1"/>
  <c r="I120" i="5"/>
  <c r="K120" i="5" s="1"/>
  <c r="K119" i="5"/>
  <c r="G504" i="1" l="1"/>
  <c r="M1" i="5" s="1"/>
  <c r="I8" i="19"/>
  <c r="X336" i="26"/>
  <c r="B342" i="26"/>
  <c r="B344" i="26" s="1"/>
  <c r="B346" i="26" s="1"/>
  <c r="D349" i="26" s="1"/>
  <c r="L122" i="5"/>
  <c r="J122" i="5"/>
  <c r="K122" i="5"/>
  <c r="H38" i="9" s="1"/>
  <c r="H40" i="9" s="1"/>
  <c r="I122" i="5"/>
  <c r="G515" i="1" l="1"/>
  <c r="R284" i="26"/>
  <c r="R336" i="26"/>
  <c r="B38" i="3"/>
  <c r="B52" i="3" s="1"/>
  <c r="G6" i="19" l="1"/>
  <c r="I6" i="19" s="1"/>
  <c r="D168" i="9" a="1"/>
  <c r="D168" i="9" s="1"/>
  <c r="E483" i="1"/>
  <c r="I5" i="19" l="1"/>
  <c r="H278" i="26"/>
  <c r="G151" i="24"/>
  <c r="B297" i="9" s="1"/>
  <c r="I273" i="9"/>
  <c r="H280" i="26"/>
  <c r="R280" i="26" s="1"/>
  <c r="G7" i="19"/>
  <c r="A236" i="9" a="1"/>
  <c r="A236" i="9" s="1"/>
  <c r="A250" i="9" s="1" a="1"/>
  <c r="A250" i="9" s="1"/>
  <c r="E491" i="1"/>
  <c r="D171" i="9" a="1"/>
  <c r="D171" i="9" s="1"/>
  <c r="D174" i="9" s="1" a="1"/>
  <c r="D174" i="9" s="1"/>
  <c r="I279" i="9" l="1"/>
  <c r="I282" i="9"/>
  <c r="I285" i="9" s="1"/>
  <c r="I288" i="9" s="1"/>
  <c r="I289" i="9" s="1"/>
  <c r="H330" i="26"/>
  <c r="Q278" i="26"/>
  <c r="R278" i="26"/>
  <c r="J218" i="24"/>
  <c r="B299" i="9"/>
  <c r="Q280" i="26"/>
  <c r="H282" i="26"/>
  <c r="R282" i="26" s="1"/>
  <c r="I7" i="19"/>
  <c r="H332" i="26"/>
  <c r="X332" i="26" s="1"/>
  <c r="A254" i="9" a="1"/>
  <c r="A254" i="9" s="1"/>
  <c r="A291" i="9" s="1" a="1"/>
  <c r="A291" i="9" s="1"/>
  <c r="Q330" i="26" l="1"/>
  <c r="X330" i="26"/>
  <c r="R330" i="26"/>
  <c r="Q282" i="26"/>
  <c r="H334" i="26"/>
  <c r="H346" i="26" s="1"/>
  <c r="H350" i="26" s="1"/>
  <c r="H300" i="26"/>
  <c r="H304" i="26" s="1"/>
  <c r="R332" i="26"/>
  <c r="Q332" i="26"/>
  <c r="X334" i="26" l="1"/>
  <c r="X346" i="26" s="1"/>
  <c r="L455" i="26" s="1"/>
  <c r="L456" i="26" s="1"/>
  <c r="L459" i="26" s="1"/>
  <c r="L460" i="26" s="1"/>
  <c r="L465" i="26" s="1"/>
  <c r="L466" i="26" s="1"/>
  <c r="L467" i="26" s="1"/>
  <c r="R334" i="26"/>
  <c r="Q334" i="26"/>
  <c r="Q300" i="26"/>
  <c r="Q346" i="26"/>
  <c r="P303" i="26"/>
  <c r="Q304" i="26"/>
  <c r="J55" i="27"/>
  <c r="L55" i="27" s="1"/>
  <c r="Q350" i="26"/>
  <c r="P349" i="26"/>
  <c r="B46" i="2" l="1"/>
  <c r="B4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37" authorId="0" shapeId="0" xr:uid="{C954A0F9-D577-4B8C-8852-CE236E9E23C7}">
      <text>
        <r>
          <rPr>
            <b/>
            <sz val="9"/>
            <color indexed="81"/>
            <rFont val="Tahoma"/>
            <family val="2"/>
          </rPr>
          <t>Kevin Tatreau:</t>
        </r>
        <r>
          <rPr>
            <sz val="9"/>
            <color indexed="81"/>
            <rFont val="Tahoma"/>
            <family val="2"/>
          </rPr>
          <t xml:space="preserve">
There used to be one chart with the possibility of many columns. For this automated process, I'd like to recommend we offer a separate "propertly completed chart" eligibility item for the following when applicable: HC, Loan, and Gap (MMRB is automated, but we can provide it as well if you want). It will make a simpler messaging formula with a possible less row heights.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G52" authorId="0" shapeId="0" xr:uid="{A3188DF0-86E5-4CAF-8C5C-94F8A619C96F}">
      <text>
        <r>
          <rPr>
            <b/>
            <sz val="9"/>
            <color indexed="81"/>
            <rFont val="Tahoma"/>
            <family val="2"/>
          </rPr>
          <t>Matt Jugenheimer:</t>
        </r>
        <r>
          <rPr>
            <sz val="9"/>
            <color indexed="81"/>
            <rFont val="Tahoma"/>
            <family val="2"/>
          </rPr>
          <t xml:space="preserve">
Some - Tracy did most.</t>
        </r>
      </text>
    </comment>
    <comment ref="G62" authorId="0" shapeId="0" xr:uid="{CCBB8A19-1766-4800-8DA6-C297AF607898}">
      <text>
        <r>
          <rPr>
            <b/>
            <sz val="9"/>
            <color indexed="81"/>
            <rFont val="Tahoma"/>
            <family val="2"/>
          </rPr>
          <t>Matt Jugenheimer:</t>
        </r>
        <r>
          <rPr>
            <sz val="9"/>
            <color indexed="81"/>
            <rFont val="Tahoma"/>
            <family val="2"/>
          </rPr>
          <t xml:space="preserve">
Some - Tracy did most.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P267"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B268"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269"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269"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A308" authorId="0" shapeId="0" xr:uid="{FDA52586-263F-4567-BA98-750DE81D0915}">
      <text>
        <r>
          <rPr>
            <b/>
            <sz val="9"/>
            <color indexed="81"/>
            <rFont val="Tahoma"/>
            <family val="2"/>
          </rPr>
          <t>Kevin Tatreau:</t>
        </r>
        <r>
          <rPr>
            <sz val="9"/>
            <color indexed="81"/>
            <rFont val="Tahoma"/>
            <family val="2"/>
          </rPr>
          <t xml:space="preserve">
Will need to ask a question to determine if they qualify for these exclusions.</t>
        </r>
      </text>
    </comment>
    <comment ref="A309" authorId="0" shapeId="0" xr:uid="{B3B3092D-7D9F-4427-83D7-8CE1013CCD82}">
      <text>
        <r>
          <rPr>
            <b/>
            <sz val="9"/>
            <color indexed="81"/>
            <rFont val="Tahoma"/>
            <family val="2"/>
          </rPr>
          <t>Kevin Tatreau:</t>
        </r>
        <r>
          <rPr>
            <sz val="9"/>
            <color indexed="81"/>
            <rFont val="Tahoma"/>
            <family val="2"/>
          </rPr>
          <t xml:space="preserve">
Will need to ask a question to determine if they qualify for these exclusions.</t>
        </r>
      </text>
    </comment>
    <comment ref="C315"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applcable, the default is 'General'.</t>
        </r>
      </text>
    </comment>
    <comment ref="B357"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elow.</t>
        </r>
      </text>
    </comment>
    <comment ref="F489"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499" authorId="0" shapeId="0" xr:uid="{795D2A2A-B235-4DBF-B335-CF774B449E03}">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2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C105" authorId="0" shapeId="0" xr:uid="{0D28FF70-44E4-4140-9F38-A723EC3BC686}">
      <text>
        <r>
          <rPr>
            <b/>
            <sz val="9"/>
            <color indexed="81"/>
            <rFont val="Tahoma"/>
            <family val="2"/>
          </rPr>
          <t>Kevin Tatreau:</t>
        </r>
        <r>
          <rPr>
            <sz val="9"/>
            <color indexed="81"/>
            <rFont val="Tahoma"/>
            <family val="2"/>
          </rPr>
          <t xml:space="preserve">
This amount is controlled by a dropdown menu in cell K104</t>
        </r>
      </text>
    </comment>
    <comment ref="I105"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cell L104</t>
        </r>
      </text>
    </comment>
    <comment ref="C107" authorId="0" shapeId="0" xr:uid="{EBE4AEF9-80CC-4583-928A-FFAFFE4F49E2}">
      <text>
        <r>
          <rPr>
            <b/>
            <sz val="9"/>
            <color indexed="81"/>
            <rFont val="Tahoma"/>
            <family val="2"/>
          </rPr>
          <t>Kevin Tatreau:</t>
        </r>
        <r>
          <rPr>
            <sz val="9"/>
            <color indexed="81"/>
            <rFont val="Tahoma"/>
            <family val="2"/>
          </rPr>
          <t xml:space="preserve">
This amount is controlled by a dropdown menu in cell K106</t>
        </r>
      </text>
    </comment>
    <comment ref="I10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cell L106</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<sst xmlns="http://schemas.openxmlformats.org/spreadsheetml/2006/main" count="7054" uniqueCount="2151">
  <si>
    <t>All inclusive rows</t>
  </si>
  <si>
    <t>Options in this RFA</t>
  </si>
  <si>
    <t>&lt;select one&gt;</t>
  </si>
  <si>
    <t>All Inclusive List - Demographics (Demo)</t>
  </si>
  <si>
    <t>In RFA?</t>
  </si>
  <si>
    <t>Sequence</t>
  </si>
  <si>
    <t>Sort</t>
  </si>
  <si>
    <t>Family</t>
  </si>
  <si>
    <t>Elderly Non-ALF</t>
  </si>
  <si>
    <t>Elderly ALF</t>
  </si>
  <si>
    <t>Elderly (Elderly Transformative Preservation)</t>
  </si>
  <si>
    <t>Homeless</t>
  </si>
  <si>
    <t>Persons with a Disabiling Condition</t>
  </si>
  <si>
    <t>Persons with Developmental Disabilities</t>
  </si>
  <si>
    <t>Persons with Special Needs</t>
  </si>
  <si>
    <t>Workforce</t>
  </si>
  <si>
    <t>All Inclusive List - Development Category (DevCat)</t>
  </si>
  <si>
    <t>New Construction</t>
  </si>
  <si>
    <t>Rehabilitation</t>
  </si>
  <si>
    <t>Acquisition and Rehabilitation</t>
  </si>
  <si>
    <t>Redevelopment</t>
  </si>
  <si>
    <t>Acquisition and Redevelopment</t>
  </si>
  <si>
    <t>Preservation</t>
  </si>
  <si>
    <t>Acquisition and Preservation</t>
  </si>
  <si>
    <t>All Inclusive List - Counties (Counties)</t>
  </si>
  <si>
    <t>2021-Size 1</t>
  </si>
  <si>
    <t>2021-Size 2</t>
  </si>
  <si>
    <t>Alachua</t>
  </si>
  <si>
    <t>Medium</t>
  </si>
  <si>
    <t>ML</t>
  </si>
  <si>
    <t>Baker</t>
  </si>
  <si>
    <t>Small</t>
  </si>
  <si>
    <t>SM</t>
  </si>
  <si>
    <t>Bay</t>
  </si>
  <si>
    <t>MS</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</si>
  <si>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</si>
  <si>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</si>
  <si>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</si>
  <si>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</si>
  <si>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</si>
  <si>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</si>
  <si>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</si>
  <si>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</si>
  <si>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</si>
  <si>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</si>
  <si>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</si>
  <si>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</si>
  <si>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</si>
  <si>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</si>
  <si>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</si>
  <si>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</si>
  <si>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</si>
  <si>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</si>
  <si>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</si>
  <si>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</si>
  <si>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</si>
  <si>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</si>
  <si>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</si>
  <si>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</si>
  <si>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</si>
  <si>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</si>
  <si>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</si>
  <si>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</si>
  <si>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</si>
  <si>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</si>
  <si>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</si>
  <si>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</si>
  <si>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</si>
  <si>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</si>
  <si>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</si>
  <si>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</si>
  <si>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</si>
  <si>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</si>
  <si>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</si>
  <si>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</si>
  <si>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</si>
  <si>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</si>
  <si>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</si>
  <si>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</si>
  <si>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</si>
  <si>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</si>
  <si>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</si>
  <si>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</si>
  <si>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</si>
  <si>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</si>
  <si>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</si>
  <si>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</si>
  <si>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</si>
  <si>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</si>
  <si>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</si>
  <si>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</si>
  <si>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</si>
  <si>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</si>
  <si>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</si>
  <si>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St. Johns</t>
  </si>
  <si>
    <t>St. Lucie</t>
  </si>
  <si>
    <t>Santa Rosa</t>
  </si>
  <si>
    <t>Sarasota</t>
  </si>
  <si>
    <t>Seminole</t>
  </si>
  <si>
    <t>Sumter</t>
  </si>
  <si>
    <t>Suwannee</t>
  </si>
  <si>
    <t>Taylor</t>
  </si>
  <si>
    <t>Union</t>
  </si>
  <si>
    <t>Volusia</t>
  </si>
  <si>
    <t>Wakulla</t>
  </si>
  <si>
    <t>Walton</t>
  </si>
  <si>
    <t>Washington</t>
  </si>
  <si>
    <t>All Inclusive List - Development Type (DevType)</t>
  </si>
  <si>
    <t>Garden Apartments</t>
  </si>
  <si>
    <t>Single Family</t>
  </si>
  <si>
    <t>Duplexes</t>
  </si>
  <si>
    <t>Triplexes</t>
  </si>
  <si>
    <t>Quadraplexes</t>
  </si>
  <si>
    <t>Townhouses</t>
  </si>
  <si>
    <t>Mid-Rise (4 Stories)</t>
  </si>
  <si>
    <t>Mid-Rise (5-6 Stories)</t>
  </si>
  <si>
    <t>High-Rise</t>
  </si>
  <si>
    <t>Comm. Residential Home</t>
  </si>
  <si>
    <t>Assisted Living Facility</t>
  </si>
  <si>
    <t>Other</t>
  </si>
  <si>
    <t>Existing Units are currently occupied</t>
  </si>
  <si>
    <t>Existing Units are not currently occupied</t>
  </si>
  <si>
    <t>There are no existing units</t>
  </si>
  <si>
    <t>20% of units at 50% of Area Median Income (AMI) or lower</t>
  </si>
  <si>
    <t>Average Income Test</t>
  </si>
  <si>
    <t>AmeriNat Community Services</t>
  </si>
  <si>
    <t>First Housing Development Corporation</t>
  </si>
  <si>
    <t>Seltzer Management Company</t>
  </si>
  <si>
    <t>Unknown</t>
  </si>
  <si>
    <t>Priority I</t>
  </si>
  <si>
    <t>Priority II</t>
  </si>
  <si>
    <t>Leadership in Energy and Envirnomental Design (LEED)</t>
  </si>
  <si>
    <t>Florida Green Building Coalition (FGBC)</t>
  </si>
  <si>
    <t>Enterprise Green Communities</t>
  </si>
  <si>
    <t>ICC 700 National Green building Standard (NGBS)</t>
  </si>
  <si>
    <t>All Inclusive List - States (States)</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</si>
  <si>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</si>
  <si>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</si>
  <si>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</si>
  <si>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</si>
  <si>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</si>
  <si>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</si>
  <si>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</si>
  <si>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</si>
  <si>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</si>
  <si>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</si>
  <si>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</si>
  <si>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</si>
  <si>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</si>
  <si>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</si>
  <si>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</si>
  <si>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</si>
  <si>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</si>
  <si>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</si>
  <si>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</si>
  <si>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</si>
  <si>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</si>
  <si>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</si>
  <si>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</si>
  <si>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</si>
  <si>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</si>
  <si>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</si>
  <si>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</si>
  <si>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</si>
  <si>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</si>
  <si>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</si>
  <si>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</si>
  <si>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</si>
  <si>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</si>
  <si>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</si>
  <si>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</si>
  <si>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</si>
  <si>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</si>
  <si>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</si>
  <si>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</si>
  <si>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</si>
  <si>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</si>
  <si>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</si>
  <si>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</si>
  <si>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</si>
  <si>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</si>
  <si>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</si>
  <si>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</si>
  <si>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</si>
  <si>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</si>
  <si>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</si>
  <si>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Currently Managing</t>
  </si>
  <si>
    <t>Formerly Managed</t>
  </si>
  <si>
    <t>Development Finance Data Tab:</t>
  </si>
  <si>
    <t>2022 ZCTAs</t>
  </si>
  <si>
    <t>2022 Non-Metro DDA's</t>
  </si>
  <si>
    <t>2022 QCT's</t>
  </si>
  <si>
    <t>2022 Non-Metro QCT's</t>
  </si>
  <si>
    <t>GAO's effective 2/1/21</t>
  </si>
  <si>
    <t>Yes/No Dropdown</t>
  </si>
  <si>
    <t>&lt;select from menu&gt;</t>
  </si>
  <si>
    <t>Yes</t>
  </si>
  <si>
    <t>No</t>
  </si>
  <si>
    <t>Yes/No/N/A Dropdown</t>
  </si>
  <si>
    <t>Metro/Non-Metro QCT Dropdown</t>
  </si>
  <si>
    <t>N/A</t>
  </si>
  <si>
    <t>Metro</t>
  </si>
  <si>
    <t>Non-Metro</t>
  </si>
  <si>
    <t>Geographic Areas of Opportunity/SADDA Goal - Family Demographic</t>
  </si>
  <si>
    <t>Located entirely in a GAO</t>
  </si>
  <si>
    <t>Located entirely in a SADDA</t>
  </si>
  <si>
    <t>Located entirely in a GAO &amp; SADDA</t>
  </si>
  <si>
    <t>Unless stated otherwise, all information requested pertains to the Development proposed in this Application upon completion of the construction work.</t>
  </si>
  <si>
    <t>Section 4.A.1. 
Review of Attachments</t>
  </si>
  <si>
    <t>Provide all attachments as required pursuant to the RFA. If it is determined that the attachments do not meet the RFA requirements, the Application may be deemed ineligible, and/or the Corporation may rescind the award, and all Principals of the Application may be subject to material misrepresentation, even if the Application was not selected for funding, was deemed ineligible, or was withdrawn.</t>
  </si>
  <si>
    <t>Section 4.A.2  
Demographic Commitment</t>
  </si>
  <si>
    <t>Demographic Commitment:</t>
  </si>
  <si>
    <t>Section 4.A.3 
Applicant, Developer, Management Company and Contact Person</t>
  </si>
  <si>
    <t>a.</t>
  </si>
  <si>
    <t>Applicant</t>
  </si>
  <si>
    <t>(1)</t>
  </si>
  <si>
    <t>Name of Applicant:</t>
  </si>
  <si>
    <t>(2)</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</si>
  <si>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</si>
  <si>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(3)</t>
  </si>
  <si>
    <t>Non-Profit Applicant Qualifications</t>
  </si>
  <si>
    <t>Does the Applicant or the General Partner or managing member of the Applicant meet the definition of Non-Profit as set forth in Rule Chapter 67-48, F.A.C.?</t>
  </si>
  <si>
    <t>b.</t>
  </si>
  <si>
    <t>Developer Information</t>
  </si>
  <si>
    <t>(a)</t>
  </si>
  <si>
    <t>Name of the natural person Principal with the required experience:</t>
  </si>
  <si>
    <t>Name of Developer entity (for the proposed Development) for which the above individual is a Principal:</t>
  </si>
  <si>
    <t>Name of Development:</t>
  </si>
  <si>
    <t>Location (city and state):</t>
  </si>
  <si>
    <t>Total Number of Units:</t>
  </si>
  <si>
    <t>Year Completed:</t>
  </si>
  <si>
    <t>(ii)</t>
  </si>
  <si>
    <t>Second completed affordable rental housing development that meets the experience requirement outlined in Section Four, A.3.b.(3)(a) of the RFA:</t>
  </si>
  <si>
    <t>(iii)</t>
  </si>
  <si>
    <t>Third completed affordable rental housing development that meets the experience requirement outlined in Section Four, A.3.b.(3)(a) of the RFA:</t>
  </si>
  <si>
    <t>(b)</t>
  </si>
  <si>
    <t>Developer Experience Withdrawal Disincentive (5 points)</t>
  </si>
  <si>
    <t>To receive five points, the Developer Experience Withdrawal Disincentive criteria outlined in Section Four A.3.b.(3)(b) of the RFA must be met.</t>
  </si>
  <si>
    <t>c.</t>
  </si>
  <si>
    <t>Principals Disclosure for the Applicant and for each Developer (5 points)</t>
  </si>
  <si>
    <t>Advance Review of Principals Disclosure Form (5 points)</t>
  </si>
  <si>
    <t>Applicants will receive 5 points if the uploaded Principal Disclosure Form is either (a) stamped “Approved” at least 14 Calendar Days prior to the Application Deadline; or (b) stamped “Received” by the Corporation at least 14 Calendar Days prior to the Application Deadline AND stamped “Approved” prior to the Application Deadline.</t>
  </si>
  <si>
    <t xml:space="preserve"> Priority Designation of Applications</t>
  </si>
  <si>
    <t>Indicate whether this Application is designated as Priority I or Priority II.  If no selection is made, the Application will be considered a Priority II Application.</t>
  </si>
  <si>
    <t>d.</t>
  </si>
  <si>
    <t>Management Company</t>
  </si>
  <si>
    <t>Contact Information</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</si>
  <si>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</si>
  <si>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</si>
  <si>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</si>
  <si>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</si>
  <si>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</si>
  <si>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</si>
  <si>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</si>
  <si>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</si>
  <si>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</si>
  <si>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</si>
  <si>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</si>
  <si>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</si>
  <si>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Authorized Principal Representative contact information (required)</t>
  </si>
  <si>
    <t>First Name:</t>
  </si>
  <si>
    <t>Last Name:</t>
  </si>
  <si>
    <t>Organization:</t>
  </si>
  <si>
    <t>Operational Contact Person Information (optional)</t>
  </si>
  <si>
    <t>Section 4.A.4
General Proposed Development Information</t>
  </si>
  <si>
    <t>Name of the proposed Development:</t>
  </si>
  <si>
    <t>Development Category</t>
  </si>
  <si>
    <t>Select the Development Category:</t>
  </si>
  <si>
    <t xml:space="preserve"> Rental Assistance (RA) Level</t>
  </si>
  <si>
    <t>Development Category Qualification Letter</t>
  </si>
  <si>
    <r>
      <t xml:space="preserve">If applicable, provide the Development Category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</si>
  <si>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Calculating the RA Level</t>
  </si>
  <si>
    <r>
      <t>Using the information provided in the Development Category Qualification Letter, complete</t>
    </r>
    <r>
      <rPr>
        <b/>
        <sz val="11"/>
        <color theme="1"/>
        <rFont val="Calibri"/>
        <family val="2"/>
        <scheme val="minor"/>
      </rPr>
      <t xml:space="preserve"> </t>
    </r>
    <r>
      <rPr>
        <sz val="11"/>
        <color theme="1"/>
        <rFont val="Calibri"/>
        <family val="2"/>
        <scheme val="minor"/>
      </rPr>
      <t>the following information which will be used by the Corporation to calculate the Rental Assistance (RA Level):</t>
    </r>
  </si>
  <si>
    <t>State the Year Built:</t>
  </si>
  <si>
    <t>PBRA:</t>
  </si>
  <si>
    <t>ACC:</t>
  </si>
  <si>
    <t>Other federal assistance:</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</si>
  <si>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</si>
  <si>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</si>
  <si>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</si>
  <si>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Select the Development Type:</t>
  </si>
  <si>
    <t>Does the proposed Development meet the requirements to be considered Enhanced Structural Systems Construction as outlined in Section Four A.4.d. of the RFA?</t>
  </si>
  <si>
    <t>Breakdown of number of units</t>
  </si>
  <si>
    <t>Complete the chart below reflecting the number of units for each of the Development Categories, Development Types, or ESS/non-ESS Construction, for purposes of the Total Development Cost Per Unit Limitation calculation and the Leveraging Calculation.</t>
  </si>
  <si>
    <t>Unit Characteristics</t>
  </si>
  <si>
    <t>Enter the applicable number of units</t>
  </si>
  <si>
    <t>Garden</t>
  </si>
  <si>
    <t>ESS Construction</t>
  </si>
  <si>
    <t>Non-ESS Construction</t>
  </si>
  <si>
    <t>Mid-Rise</t>
  </si>
  <si>
    <t>Other Dev Type*</t>
  </si>
  <si>
    <t>Rehab</t>
  </si>
  <si>
    <t>Mid-Rise, High-Rise</t>
  </si>
  <si>
    <t>Total Units:</t>
  </si>
  <si>
    <t>Section 4.A.5
Location of Proposed Development</t>
  </si>
  <si>
    <r>
      <rPr>
        <b/>
        <sz val="11"/>
        <rFont val="Calibri"/>
        <family val="2"/>
        <scheme val="minor"/>
      </rPr>
      <t>County:</t>
    </r>
    <r>
      <rPr>
        <b/>
        <sz val="11"/>
        <color theme="1"/>
        <rFont val="Calibri"/>
        <family val="2"/>
        <scheme val="minor"/>
      </rPr>
      <t xml:space="preserve"> </t>
    </r>
  </si>
  <si>
    <t>Address of Development Site</t>
  </si>
  <si>
    <t>Street Address or closest designated intersection:</t>
  </si>
  <si>
    <t>City of Development Site*:</t>
  </si>
  <si>
    <t>*If the proposed Development is located in the unincorporated area of a county, provide that information.</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</si>
  <si>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</si>
  <si>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</si>
  <si>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</si>
  <si>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</si>
  <si>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</si>
  <si>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</si>
  <si>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</si>
  <si>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</si>
  <si>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</si>
  <si>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r>
      <t xml:space="preserve">If "Yes", provide the required letter as </t>
    </r>
    <r>
      <rPr>
        <b/>
        <sz val="11"/>
        <color theme="1"/>
        <rFont val="Calibri"/>
        <family val="2"/>
        <scheme val="minor"/>
      </rPr>
      <t>Attachment 12</t>
    </r>
    <r>
      <rPr>
        <sz val="11"/>
        <color theme="1"/>
        <rFont val="Calibri"/>
        <family val="2"/>
        <scheme val="minor"/>
      </rPr>
      <t>.</t>
    </r>
  </si>
  <si>
    <t>Transit Services</t>
  </si>
  <si>
    <t>If the proposed Development will serve the Elderly (ALF or Non-ALF) Demographic Commitment, does the Applicant commit to provide Private Transportation?</t>
  </si>
  <si>
    <t>Other Transit Services</t>
  </si>
  <si>
    <t>Service</t>
  </si>
  <si>
    <t>Latitude Coordinates</t>
  </si>
  <si>
    <t>Longitude Coordinates</t>
  </si>
  <si>
    <t>Distance*</t>
  </si>
  <si>
    <t>Public Bus Stop 1</t>
  </si>
  <si>
    <t>Public Bus Stop 2</t>
  </si>
  <si>
    <t>Public Bus Stop 3</t>
  </si>
  <si>
    <t>Public Bus Transfer Stop</t>
  </si>
  <si>
    <t>Public Bust Rapid Transit Stop</t>
  </si>
  <si>
    <t>Community Services</t>
  </si>
  <si>
    <r>
      <t xml:space="preserve">Up to </t>
    </r>
    <r>
      <rPr>
        <b/>
        <u/>
        <sz val="11"/>
        <color theme="1"/>
        <rFont val="Calibri"/>
        <family val="2"/>
        <scheme val="minor"/>
      </rPr>
      <t>three</t>
    </r>
    <r>
      <rPr>
        <sz val="11"/>
        <color theme="1"/>
        <rFont val="Calibri"/>
        <family val="2"/>
        <scheme val="minor"/>
      </rPr>
      <t xml:space="preserve"> Community Servicesmay be selected, for a maximum 4 points for each service.</t>
    </r>
  </si>
  <si>
    <t>Service Name</t>
  </si>
  <si>
    <t>Service Address</t>
  </si>
  <si>
    <t>Grocery Store</t>
  </si>
  <si>
    <t>Medical Facility</t>
  </si>
  <si>
    <t>Pharmacy</t>
  </si>
  <si>
    <t>Public School</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</si>
  <si>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</si>
  <si>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</si>
  <si>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</si>
  <si>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</si>
  <si>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Racially and Ethnically Concentrated Areas of Poverty (RECAP)</t>
  </si>
  <si>
    <t>Is any part of the proposed Development located in a RECAP designated area?</t>
  </si>
  <si>
    <t>Section 4.A.6
Number of Units and Buildings</t>
  </si>
  <si>
    <t>Enter the total number of units in the proposed Development upon completion:</t>
  </si>
  <si>
    <t>If there are existing occupied units and if the Development is funded, a plan for relocation of existing tenants will be required to be provided to the Credit Underwriter, as outlined in Exhibit D.</t>
  </si>
  <si>
    <t>Set-Aside Commitments</t>
  </si>
  <si>
    <t>Select on of the following minimum set-aside commitments:</t>
  </si>
  <si>
    <t>Total Set-Aside Breakdown Chart</t>
  </si>
  <si>
    <t>Number of Residential Units</t>
  </si>
  <si>
    <t>Percentage of Units</t>
  </si>
  <si>
    <t>AMI Level, at or below:</t>
  </si>
  <si>
    <t>Types of Units</t>
  </si>
  <si>
    <t>Housing Credit Units</t>
  </si>
  <si>
    <t>Total Qualifying HC Units</t>
  </si>
  <si>
    <t>Average AMI of the Qualifying HC Units</t>
  </si>
  <si>
    <t>Note:  If the Total Set-Aside Breakdown Chart reflects that the Average AMI of all Qualifying Housing Credit Units exceeds 60 percent, and/or if the number of Set-Aside Units set aside at 30 percent AMI or less, is not equal to or greater than the required ELI commitment, and/or the overall Set-Aside Commitment requirement is not met, the Application will not be eligible for funding.</t>
  </si>
  <si>
    <t>Unit Mix Chart</t>
  </si>
  <si>
    <t>Complete the chart below:</t>
  </si>
  <si>
    <t>Number of Bedrooms/Bathrooms per Unit</t>
  </si>
  <si>
    <t>Number of Units per Bedroom/Bathroom Type</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</si>
  <si>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</si>
  <si>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</si>
  <si>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</si>
  <si>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</si>
  <si>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</si>
  <si>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</si>
  <si>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</si>
  <si>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</si>
  <si>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</si>
  <si>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</si>
  <si>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</si>
  <si>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</si>
  <si>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</si>
  <si>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</si>
  <si>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</si>
  <si>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</si>
  <si>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</si>
  <si>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Number of Buildings</t>
  </si>
  <si>
    <t>Number of anticipated residential buildings:</t>
  </si>
  <si>
    <t>Compliance Period</t>
  </si>
  <si>
    <t>All Applicants are required to set aside the units for this number of years, as further described in Section Four of the RFA.</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</si>
  <si>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</si>
  <si>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</si>
  <si>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</si>
  <si>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</si>
  <si>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r>
      <t xml:space="preserve">Provide the required documentation to demonstrate zoning as </t>
    </r>
    <r>
      <rPr>
        <b/>
        <sz val="11"/>
        <color theme="1"/>
        <rFont val="Calibri"/>
        <family val="2"/>
        <scheme val="minor"/>
      </rPr>
      <t>Attachment 7</t>
    </r>
    <r>
      <rPr>
        <sz val="11"/>
        <color theme="1"/>
        <rFont val="Calibri"/>
        <family val="2"/>
        <scheme val="minor"/>
      </rPr>
      <t>.</t>
    </r>
  </si>
  <si>
    <r>
      <t xml:space="preserve">Provide the required documentation to demonstrate availability of water as </t>
    </r>
    <r>
      <rPr>
        <b/>
        <sz val="11"/>
        <color theme="1"/>
        <rFont val="Calibri"/>
        <family val="2"/>
        <scheme val="minor"/>
      </rPr>
      <t>Attachment 8</t>
    </r>
    <r>
      <rPr>
        <sz val="11"/>
        <color theme="1"/>
        <rFont val="Calibri"/>
        <family val="2"/>
        <scheme val="minor"/>
      </rPr>
      <t>.</t>
    </r>
  </si>
  <si>
    <r>
      <t xml:space="preserve">Provide the required documentation to demonstrate availability of sewer as </t>
    </r>
    <r>
      <rPr>
        <b/>
        <sz val="11"/>
        <color theme="1"/>
        <rFont val="Calibri"/>
        <family val="2"/>
        <scheme val="minor"/>
      </rPr>
      <t>Attachment 9</t>
    </r>
    <r>
      <rPr>
        <sz val="11"/>
        <color theme="1"/>
        <rFont val="Calibri"/>
        <family val="2"/>
        <scheme val="minor"/>
      </rPr>
      <t>.</t>
    </r>
  </si>
  <si>
    <t>Section 4.A.8
Construction Features</t>
  </si>
  <si>
    <t>Federal requirements and State Building Code requirements for all Developments are outlined in Section Four.</t>
  </si>
  <si>
    <t>General feature requirements for all Developments are outlined in Section Four.</t>
  </si>
  <si>
    <t>Green Building Features</t>
  </si>
  <si>
    <t>Select one of the following Green Building Certification programs described in Section Four.</t>
  </si>
  <si>
    <t>Programmable thermostat in each unit</t>
  </si>
  <si>
    <t>Humidistat in each unit</t>
  </si>
  <si>
    <t>Water Sense certified dual flush toilets in all bathrooms</t>
  </si>
  <si>
    <t>Light colored concrete pavement instead of or on top of asphalt to reduce the heat-island effect</t>
  </si>
  <si>
    <t>Energy Star certified roof coating*</t>
  </si>
  <si>
    <t>Energy Star certified roofing materials (metal, shingles, thermoplastic polyolefin (TPO), or tiles)</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</si>
  <si>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</si>
  <si>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</si>
  <si>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</si>
  <si>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FL Yards and Neighborhoods certification on all landscaping</t>
  </si>
  <si>
    <t xml:space="preserve">Install daylight sensors, timers or motion detectors on all outdoor lighting attached to buildings </t>
  </si>
  <si>
    <t>Total Points selected in Item d.(3) above</t>
  </si>
  <si>
    <t>*</t>
  </si>
  <si>
    <t>The Applicant may choose only one option related to Energy Star certified roofing.</t>
  </si>
  <si>
    <t>**</t>
  </si>
  <si>
    <t>Applicants who choose high efficiency HVACs must meet the standards listed here, which exceed the minimum Green Building Features required of all Developments Section Four A.8. of the RFA.</t>
  </si>
  <si>
    <t>Section 4.A.9
Resident Programs</t>
  </si>
  <si>
    <t>Commit to provide at least three of the following resident programs:</t>
  </si>
  <si>
    <t>After School Program for Children</t>
  </si>
  <si>
    <t xml:space="preserve">Adult Literacy </t>
  </si>
  <si>
    <t>Employment Assistance Program</t>
  </si>
  <si>
    <t>Family Support Coordinator</t>
  </si>
  <si>
    <t>Financial Management Program</t>
  </si>
  <si>
    <t>Homeownership Opportunity Program</t>
  </si>
  <si>
    <t>Developments serving the Elderly (ALF or Non-ALF) Demographic:</t>
  </si>
  <si>
    <t>Required Resident Programs for all Applicants that select the Elderly Demographic (ALF or Non-ALF) are outlined in Section Four.</t>
  </si>
  <si>
    <t>Additional required Resident Programs for all Applicants who select the Elderly ALF Demographic Commitment are outlined in Section Four.</t>
  </si>
  <si>
    <t>Applicants that select the Elderly (ALF or Non-ALF) Demographic must commit to at least three of the following resident programs, in addition to the required resident programs stated in Section Four:</t>
  </si>
  <si>
    <t>Adult Literacy</t>
  </si>
  <si>
    <t>Computer Training</t>
  </si>
  <si>
    <t>Daily Activities</t>
  </si>
  <si>
    <t>Assistance with Light Husekeeping, Grocery Shopping and/or Laundry</t>
  </si>
  <si>
    <t>Resident Assurance Check-In Program</t>
  </si>
  <si>
    <t>Section 4.A.10
Funding</t>
  </si>
  <si>
    <t>Corporation Funding</t>
  </si>
  <si>
    <t>Workforce SAIL</t>
  </si>
  <si>
    <t xml:space="preserve">If “Yes”, state the Corporation-assigned Application Number for the Development where the first phase was declared: </t>
  </si>
  <si>
    <t>(The Applicant should enter multiple SADDA ZCTA Numbers individually, one per row)</t>
  </si>
  <si>
    <t>(The Applicant should enter multiple Geographic Areas of Opportunity Census Tract Numbers individually, one per row)</t>
  </si>
  <si>
    <t>*The Applicant should enter only the tract code, please exclude the corresponding state and county codes.</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</si>
  <si>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</si>
  <si>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</si>
  <si>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</si>
  <si>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</si>
  <si>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</si>
  <si>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</si>
  <si>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</si>
  <si>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</si>
  <si>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</si>
  <si>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</si>
  <si>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SAIL</t>
  </si>
  <si>
    <t>HOME-Rental</t>
  </si>
  <si>
    <t>MMRB</t>
  </si>
  <si>
    <t>EHCL</t>
  </si>
  <si>
    <t>Non-Corporation Funding</t>
  </si>
  <si>
    <t>Non-Corporation Funding Proposals</t>
  </si>
  <si>
    <r>
      <t xml:space="preserve">Attach all funding proposals executed by the lender(s) or by any other source as </t>
    </r>
    <r>
      <rPr>
        <b/>
        <sz val="11"/>
        <color theme="1"/>
        <rFont val="Calibri"/>
        <family val="2"/>
        <scheme val="minor"/>
      </rPr>
      <t>Attachment 13</t>
    </r>
    <r>
      <rPr>
        <sz val="11"/>
        <color theme="1"/>
        <rFont val="Calibri"/>
        <family val="2"/>
        <scheme val="minor"/>
      </rPr>
      <t>.</t>
    </r>
  </si>
  <si>
    <t>Development Cost Pro Forma</t>
  </si>
  <si>
    <t>Per Unit Construction Funding Preference</t>
  </si>
  <si>
    <t>Does the proposed Development qualify for the Per Unit Construction Funding Preference?</t>
  </si>
  <si>
    <t>Principal of the Applicant is a Public Housing Authority and/or an instrumentality of a Public Housing Authority</t>
  </si>
  <si>
    <t>Has the Applicant entered into a land lease with a Public Housing Authority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</si>
  <si>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</si>
  <si>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r>
      <t xml:space="preserve">If “Yes”, in order to be considered for points for this section of the RFA, provide the applicable Local Government Verification of Contribution form(s) as </t>
    </r>
    <r>
      <rPr>
        <b/>
        <sz val="11"/>
        <color theme="1"/>
        <rFont val="Calibri"/>
        <family val="2"/>
        <scheme val="minor"/>
      </rPr>
      <t>Attachment 14</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</si>
  <si>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Section 4.B.1.
Verifying Application Fee Payment</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</si>
  <si>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</si>
  <si>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</si>
  <si>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</si>
  <si>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</si>
  <si>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The Authorized Principal Representative must review and execute this section.</t>
  </si>
  <si>
    <t>1.</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</si>
  <si>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</si>
  <si>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2.</t>
  </si>
  <si>
    <t>3.</t>
  </si>
  <si>
    <t>The Applicant certifies that the proposed Development can be completed and operating within the development schedule and budget submitted to the Corporation.</t>
  </si>
  <si>
    <t>4.</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</si>
  <si>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</si>
  <si>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5.</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</si>
  <si>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</si>
  <si>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6.</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</si>
  <si>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</si>
  <si>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7.</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</si>
  <si>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  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</si>
  <si>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8.</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</si>
  <si>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</si>
  <si>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9.</t>
  </si>
  <si>
    <t>10.</t>
  </si>
  <si>
    <t>11.</t>
  </si>
  <si>
    <t>12.</t>
  </si>
  <si>
    <t>The Applicant understands and agrees that it will ensure that (i) none of the General Contractor duties to manage and control the construction of the Development are subcontracted; (ii) none of the construction or inspection work that is normally performed by subcontractors is performed by the General Contractor; (iii) no construction cost is subcontracted to any entity that has common ownership or is an Affiliate of the General Contractor or the Developer, as further described in subsection 67-48.0072(17), F.A.C.; and (iv) a provision is provided in the contract with General Contractor that it will comply with subsection 67-48.0072(17)F.A.C.</t>
  </si>
  <si>
    <t>13.</t>
  </si>
  <si>
    <t>The Applicant, the Developer and all Principals are in good standing among all other state agencies and have not been prohibited from applying for funding.</t>
  </si>
  <si>
    <t>14.</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</si>
  <si>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</si>
  <si>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15.</t>
  </si>
  <si>
    <t>During the credit underwriting process, demonstrate that the Development meets the requirements of this RFA and Section 42 of the IRC.</t>
  </si>
  <si>
    <t>16.</t>
  </si>
  <si>
    <t>17.</t>
  </si>
  <si>
    <t>The Applicant understands and agrees to cooperate with any audits conducted in accordance with the provisions set forth in Section 20.055(5), F.S.</t>
  </si>
  <si>
    <t>18.</t>
  </si>
  <si>
    <t>The Applicant has read, understands and will comply with the tenant selection requirements outlined in Exhibit G.</t>
  </si>
  <si>
    <t>19.</t>
  </si>
  <si>
    <t>The undersigned is authorized to bind the Applicant entity to this certification and warranty of truthfulness and completeness of the Application.</t>
  </si>
  <si>
    <t>20.</t>
  </si>
  <si>
    <t>The Applicant understands and acknowledges that Florida Housing may make all Applications in this RFA public sooner than 30 days after the Application Deadline.</t>
  </si>
  <si>
    <t>Under the penalties of perjury, I declare and certify that I have read the foregoing and that the information is true, correct and complete.</t>
  </si>
  <si>
    <t>Signature of Authorized Principal Representative*</t>
  </si>
  <si>
    <t>Title</t>
  </si>
  <si>
    <t>*The Authorized Principal Representative must type their name indicating the acknowledgement and certification of these requirements.</t>
  </si>
  <si>
    <t>All Inclusive List - Occupied (Occ)</t>
  </si>
  <si>
    <t>All Inclusive List - Minimum IRS Set-Aside (MinIRS)</t>
  </si>
  <si>
    <t>Acknowledge conditional formatting green is R:226; G:239; B:218, or Hex:#E2EFDA</t>
  </si>
  <si>
    <t>Conditional formatting pink comes before green and "stop" is selected</t>
  </si>
  <si>
    <t>ü</t>
  </si>
  <si>
    <t>Drop-down menu cells will turn pink if a menu option of "" is selected</t>
  </si>
  <si>
    <t>Spacer rows after each Section header are 14.4 high</t>
  </si>
  <si>
    <t>Spacer rows before the "a." outline level are 10 high</t>
  </si>
  <si>
    <t>Spacer rows before and after tables are 10 high</t>
  </si>
  <si>
    <t>Spacer rows after the "(1)" outline level are 10 high</t>
  </si>
  <si>
    <t>Most other rows with words are 17.4 high</t>
  </si>
  <si>
    <t>Lines starting with the "a." outline level rows are 14.4 high</t>
  </si>
  <si>
    <t>Created a line spacing system as follows:</t>
  </si>
  <si>
    <t>Corrected multilevel outline lists to follow this format: a.(1)(a)(i)</t>
  </si>
  <si>
    <t>Made all (i), (ii), (iii) entries in column D and bolded</t>
  </si>
  <si>
    <t>Made all (a), (b), (c) … entries in column C and bolded</t>
  </si>
  <si>
    <t>Made all (1), (2), (3) … entries in column B and bolded</t>
  </si>
  <si>
    <t>Made all a., b., c. … entries in column A and bolded</t>
  </si>
  <si>
    <t>Unprotected all input cells</t>
  </si>
  <si>
    <t>Unhid all rows</t>
  </si>
  <si>
    <t>General Information Tab</t>
  </si>
  <si>
    <t>GAO’s effective 2/1/21 = DS_GAOS_effective2.1.21</t>
  </si>
  <si>
    <t>2022 Non-Metro QCT’s = DS_NonMetroQCTs_2022</t>
  </si>
  <si>
    <t>2022 QCT’s = DS_NonMetroQCTs_2022</t>
  </si>
  <si>
    <t>2022 Non-Metro DDA’s = DS_NonMetroDDAs_2022</t>
  </si>
  <si>
    <t>2022 ZCTAs = DS_ZCTAs_2022</t>
  </si>
  <si>
    <t>Named Ranges:</t>
  </si>
  <si>
    <t>Under each blue header there is a drop down list of options</t>
  </si>
  <si>
    <t>Data2 Tab</t>
  </si>
  <si>
    <t>Deleted the section related to 100% NC, 100% Rehab, or Combo since the Unit Characteristics table provides the information</t>
  </si>
  <si>
    <t>Added county sizes in columns H and I, to the right of the county list</t>
  </si>
  <si>
    <t>Occ_DataNames, Occ_Sequence, Occ_DDMenu</t>
  </si>
  <si>
    <t>States_DataNames, States_Sequence, States_DDMenu</t>
  </si>
  <si>
    <t>DevType_DataNames, DevType_Sequence, DevType_DDMenu</t>
  </si>
  <si>
    <t>Counties_DataNames, Counties_Sequence, Counties_DDMenu</t>
  </si>
  <si>
    <t>DevCat_DataNames, DevCat_Sequence, DevCat_DDMenu</t>
  </si>
  <si>
    <t>Demo_DataNames, Demo_Sequence, Demo_DDMenu</t>
  </si>
  <si>
    <t>Created Named Ranges:</t>
  </si>
  <si>
    <t>Column E lists are ??_DDMenu</t>
  </si>
  <si>
    <t>Column C lists are ??_Sequence</t>
  </si>
  <si>
    <t>Column A lists are ??_DataNames</t>
  </si>
  <si>
    <t>Below, the ?? Represents an abbreviated name for the section</t>
  </si>
  <si>
    <t>Range Naming Criteria:</t>
  </si>
  <si>
    <t>Column B is user entry to identify Data Names to automatically populate the drop-down menus for the particular RFA being created.</t>
  </si>
  <si>
    <t>Column D is for entrying the prefered sort range for the DataNames</t>
  </si>
  <si>
    <t>Each named range highligted in light blue for future identification</t>
  </si>
  <si>
    <t>Inserted columns B:E, each having a width of 8</t>
  </si>
  <si>
    <t>Data1 Tab</t>
  </si>
  <si>
    <t>Kevin</t>
  </si>
  <si>
    <t>Tracy</t>
  </si>
  <si>
    <t>Matt</t>
  </si>
  <si>
    <t>Completed By…</t>
  </si>
  <si>
    <t>All Inclusive List - Prior Servicer (Serv)</t>
  </si>
  <si>
    <t>To meet the submission requirements, complete the attached Development Cost Pro Forma tab.</t>
  </si>
  <si>
    <t>Inserted Columns C, D and made columns B:C a width of 2.89 and D is 3.56</t>
  </si>
  <si>
    <t>Is the proposed Development the first phase of a multiphase Development?</t>
  </si>
  <si>
    <t>Basis Boost Qualifications:</t>
  </si>
  <si>
    <t xml:space="preserve">If “Yes”, provide the non-metropolitan DDA county name: </t>
  </si>
  <si>
    <t xml:space="preserve">If “Yes”, indicate if it is a Metro or Non-Metro QCT:  </t>
  </si>
  <si>
    <r>
      <t xml:space="preserve">The Housing Credit equity proposal must be provided as </t>
    </r>
    <r>
      <rPr>
        <b/>
        <sz val="11"/>
        <color theme="1"/>
        <rFont val="Calibri"/>
        <family val="2"/>
        <scheme val="minor"/>
      </rPr>
      <t>Attachment 10.</t>
    </r>
  </si>
  <si>
    <t>Are any buildings in the proposed Development located in a Geographic Areas of Opportunity?</t>
  </si>
  <si>
    <t xml:space="preserve">If “Yes”, enter the Geographic Areas of Opportunity Census Tract Number(s):  </t>
  </si>
  <si>
    <t>Geographic Areas of Opportunity/SADDA Goal</t>
  </si>
  <si>
    <t>HOME</t>
  </si>
  <si>
    <t>Total SAIL Request Amount</t>
  </si>
  <si>
    <t>Corporation-Issued MMRB Loan Request Amount (if applicable):</t>
  </si>
  <si>
    <t>If the Applicant intends to utilize County HFA-issued Tax-Exempt Bonds for the proposed Development, provide the required documentation as Attachment #.</t>
  </si>
  <si>
    <t>Note: NHTF funding will be awarded as outlined in Section Five and Exhibit I. NHTF funding will not be available for proposed Developments in Small Counties.</t>
  </si>
  <si>
    <t>Total Grant Request Amount, if applicable</t>
  </si>
  <si>
    <t>TBD Request Amount</t>
  </si>
  <si>
    <t>TBD Request Amount:</t>
  </si>
  <si>
    <t>Does the proposed Development qualify for the Local Government Areas of Opportunity basis boost?</t>
  </si>
  <si>
    <t>RD 515</t>
  </si>
  <si>
    <t>RD 538</t>
  </si>
  <si>
    <t>Funding Tab</t>
  </si>
  <si>
    <t>Added rows and cell names for SAIL, ELI, HOME, Grant, TBD, MMRB, NHTF</t>
  </si>
  <si>
    <t>Added LGAO yes/no question</t>
  </si>
  <si>
    <t>Formatted RD checkboxes</t>
  </si>
  <si>
    <t>Made all rows fit under header (A:H)</t>
  </si>
  <si>
    <t>Entered formulas and formatting to automate some of the outline letters/numbers</t>
  </si>
  <si>
    <t>Formatted row heights to follow protocol</t>
  </si>
  <si>
    <t>Inserted colum D to accommodate outline letters</t>
  </si>
  <si>
    <t>Serv_DataNmes, Serv_Sequence, Serv_DDMenu</t>
  </si>
  <si>
    <t>MinIRS_DataNames, MinIRS_Sequence, MinIRS_DDMenu</t>
  </si>
  <si>
    <t>All Inclusive List - Green Certification (Green)</t>
  </si>
  <si>
    <t>All Inclusive List - Priority (Priority)</t>
  </si>
  <si>
    <t>Section 4.A.5
Proximity, Mandatory Distance, and RECAP</t>
  </si>
  <si>
    <t># of Bedrooms Per Unit</t>
  </si>
  <si>
    <t>HC INELIGIBLE
COSTS</t>
  </si>
  <si>
    <t>TOTAL
COSTS</t>
  </si>
  <si>
    <t>DEVELOPMENT COSTS</t>
  </si>
  <si>
    <t xml:space="preserve">Actual Construction Costs </t>
  </si>
  <si>
    <t>Accessory Buildings</t>
  </si>
  <si>
    <t>Demolition</t>
  </si>
  <si>
    <t>New Rental Units</t>
  </si>
  <si>
    <t>*Off-Site Work (explain in detail)</t>
  </si>
  <si>
    <t>Recreational Amenities</t>
  </si>
  <si>
    <t>Rehab of Existing Common Areas</t>
  </si>
  <si>
    <t>Rehab of Existing Rental Units</t>
  </si>
  <si>
    <t>Site Work</t>
  </si>
  <si>
    <t>*Other (explain in detail)</t>
  </si>
  <si>
    <t>A1.1.</t>
  </si>
  <si>
    <t xml:space="preserve">Actual Construction Cost </t>
  </si>
  <si>
    <t>$</t>
  </si>
  <si>
    <t>A1.2.</t>
  </si>
  <si>
    <t>A1.3.</t>
  </si>
  <si>
    <t>TOTAL ACTUAL CONSTRUCTION</t>
  </si>
  <si>
    <t>COSTS</t>
  </si>
  <si>
    <t>A1.4.</t>
  </si>
  <si>
    <t>General Development Costs</t>
  </si>
  <si>
    <t>Accounting Fees</t>
  </si>
  <si>
    <t>Appraisal</t>
  </si>
  <si>
    <t>Architect's Fee - Site/Building Design</t>
  </si>
  <si>
    <t>Architect's Fee - Supervision</t>
  </si>
  <si>
    <t>Builder's Risk Insurance</t>
  </si>
  <si>
    <t>Building Permit</t>
  </si>
  <si>
    <t>Capital Needs Assessment</t>
  </si>
  <si>
    <t>Engineering Fees</t>
  </si>
  <si>
    <t>Environmental Report</t>
  </si>
  <si>
    <t>Green Building Certification/</t>
  </si>
  <si>
    <t>HERS Inspection Costs</t>
  </si>
  <si>
    <t>*Impact Fees (list in detail)</t>
  </si>
  <si>
    <t>Inspection Fees</t>
  </si>
  <si>
    <t>Insurance</t>
  </si>
  <si>
    <t>Legal Fees</t>
  </si>
  <si>
    <t>Market Study</t>
  </si>
  <si>
    <t>Marketing/Advertising</t>
  </si>
  <si>
    <t>Property Taxes</t>
  </si>
  <si>
    <t>Soil Test Report</t>
  </si>
  <si>
    <t>Survey</t>
  </si>
  <si>
    <t>Tenant Relocation Costs</t>
  </si>
  <si>
    <t>Title Insurance &amp; Recording Fees</t>
  </si>
  <si>
    <t>Utility Connection Fee</t>
  </si>
  <si>
    <t>A2.1.</t>
  </si>
  <si>
    <t>TOTAL GENERAL DEVELOPMENT</t>
  </si>
  <si>
    <t>COST</t>
  </si>
  <si>
    <t>A2.2.</t>
  </si>
  <si>
    <t xml:space="preserve">Financial Costs </t>
  </si>
  <si>
    <t>Construction Loan Origination/</t>
  </si>
  <si>
    <t>Commitment Fee(s)</t>
  </si>
  <si>
    <t>Construction Loan Credit</t>
  </si>
  <si>
    <t>Enhancement Fee(s)</t>
  </si>
  <si>
    <t>Construction Loan Interest</t>
  </si>
  <si>
    <t>Non-Permanent Loan(s) Closing</t>
  </si>
  <si>
    <t>Costs</t>
  </si>
  <si>
    <t>Permanent Loan Origination/</t>
  </si>
  <si>
    <t>Permanent Loan Credit</t>
  </si>
  <si>
    <t>Permanent Loan Closing Costs</t>
  </si>
  <si>
    <t>Bridge Loan Origination/</t>
  </si>
  <si>
    <t>Bridge Loan Interest</t>
  </si>
  <si>
    <t>A3.</t>
  </si>
  <si>
    <t>TOTAL FINANCIAL COSTS</t>
  </si>
  <si>
    <t>ACQUISITION COST OF EXISTING</t>
  </si>
  <si>
    <t>DEVELOPMENT (excluding land)</t>
  </si>
  <si>
    <t>Existing Building(s)</t>
  </si>
  <si>
    <t>B.</t>
  </si>
  <si>
    <t>TOTAL ACQUISITION COSTS OF EXISTING</t>
  </si>
  <si>
    <t>C.</t>
  </si>
  <si>
    <t xml:space="preserve">DEVELOPMENT COST </t>
  </si>
  <si>
    <t>(A1.3+A1.4+A2.1+A2.2+A3+B)</t>
  </si>
  <si>
    <t>Developer Fee on Acquisition Costs</t>
  </si>
  <si>
    <t>Developer Fee on Non-Acquisition Costs</t>
  </si>
  <si>
    <t>D.</t>
  </si>
  <si>
    <t>TOTAL DEVELOPER FEE</t>
  </si>
  <si>
    <t>E.</t>
  </si>
  <si>
    <t>F.</t>
  </si>
  <si>
    <t>TOTAL LAND COST</t>
  </si>
  <si>
    <t>G.</t>
  </si>
  <si>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</si>
  <si>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</si>
  <si>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</si>
  <si>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</si>
  <si>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</si>
  <si>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</si>
  <si>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</si>
  <si>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</si>
  <si>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</si>
  <si>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</si>
  <si>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</si>
  <si>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</si>
  <si>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</si>
  <si>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</si>
  <si>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t>(as listed at Item B2. )</t>
  </si>
  <si>
    <t>CONSTRUCTION/REHAB ANALYSIS</t>
  </si>
  <si>
    <t>AMOUNT</t>
  </si>
  <si>
    <t>LENDER/TYPE OF FUNDS</t>
  </si>
  <si>
    <t>A.</t>
  </si>
  <si>
    <t>Total Development Costs</t>
  </si>
  <si>
    <t>Construction Funding Sources:</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</si>
  <si>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</si>
  <si>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</si>
  <si>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</si>
  <si>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</si>
  <si>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</si>
  <si>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</si>
  <si>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</si>
  <si>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</si>
  <si>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</si>
  <si>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 xml:space="preserve">of Occupancy or in the case of </t>
  </si>
  <si>
    <t>Rehabilitation, prior to placed-in</t>
  </si>
  <si>
    <t xml:space="preserve">service date as determined by the </t>
  </si>
  <si>
    <t>Applicant.</t>
  </si>
  <si>
    <t>Deferred Developer Fee</t>
  </si>
  <si>
    <t>Total Construction Sources</t>
  </si>
  <si>
    <t>Construction Funding Surplus</t>
  </si>
  <si>
    <t>(A negative number here represents a funding shortfall.)</t>
  </si>
  <si>
    <t>Each Attachment must be listed behind its own Tab.  DO NOT INCLUDE ALL ATTACHMENTS BEHIND ONE TAB.</t>
  </si>
  <si>
    <t>PERMANENT ANALYSIS</t>
  </si>
  <si>
    <t>Permanent Funding Sources:</t>
  </si>
  <si>
    <t>HC Syndication/HC Equity Proceeds</t>
  </si>
  <si>
    <t>Total Permanent Funding Sources</t>
  </si>
  <si>
    <t>Permanent Funding Surplus</t>
  </si>
  <si>
    <t>Pro Forma Tab</t>
  </si>
  <si>
    <t>County</t>
  </si>
  <si>
    <t>Size</t>
  </si>
  <si>
    <t xml:space="preserve"> </t>
  </si>
  <si>
    <t>NA</t>
  </si>
  <si>
    <t xml:space="preserve">Washington </t>
  </si>
  <si>
    <t>2021 Non-Metro DDA</t>
  </si>
  <si>
    <t>N</t>
  </si>
  <si>
    <t>Y</t>
  </si>
  <si>
    <t>Max HC Request Limits</t>
  </si>
  <si>
    <t>0 Bd Units</t>
  </si>
  <si>
    <t>1 Bd Units</t>
  </si>
  <si>
    <t>2 Bd Units</t>
  </si>
  <si>
    <t>3 Bd Units</t>
  </si>
  <si>
    <t>4 Bd Units</t>
  </si>
  <si>
    <t>Small #?</t>
  </si>
  <si>
    <t>ELI</t>
  </si>
  <si>
    <t>NHTF</t>
  </si>
  <si>
    <t>Data3 Tab</t>
  </si>
  <si>
    <t>Incorporate initial County-Related Data Table WIP</t>
  </si>
  <si>
    <r>
      <t xml:space="preserve">a.1 – Blank for applicant data entry - nothing programmed. </t>
    </r>
    <r>
      <rPr>
        <sz val="11"/>
        <color rgb="FFFF0000"/>
        <rFont val="Calibri"/>
        <family val="2"/>
        <scheme val="minor"/>
      </rPr>
      <t>We should do some conditional formatting and popup based on the dollar amount entered by applicant and whether or not it is acceptable based on other application parameters selected</t>
    </r>
  </si>
  <si>
    <t>If a valid ZCTA is entered in cell D26, 27 or 28 cells E-H will turn green and a statement will appear “The ZCTA is in the HUD 2022 database for XXXX County, however it may apply to multiple MSA’s or HMFA’s”</t>
  </si>
  <si>
    <t>If incorrect data is entered in cell D26, 27 or 28 cells E-H will turn red and a statement will appear “Invalid Entry – The ZCTA is not in the HUD 2022 database”</t>
  </si>
  <si>
    <t>As a note – the year 2022 is linked to the year in cell A3 on the Data2 tab and will automatically change when that title is change (i.e. we enter 2023 data and change the title on the Data2 tab)</t>
  </si>
  <si>
    <t>a.2.c.iii – Cell D33 is a blank cell for data entry by applicant.  The data entered by the applicant will lookup from the data under cell D3 (2022 Non-Metro DDA’s) in the Data2 tab.</t>
  </si>
  <si>
    <t>If a valid DDA is entered in cell D33 cells E-H will turn green and a statement will appear “The non-metropolitan DDA is in the HUD 2022 database”</t>
  </si>
  <si>
    <t>If incorrect data is entered in cell D33 cells E-H will turn red and a statement will appear “Invalid Entry – The non-metropolitan DDA is not in the HUD 2022 database”</t>
  </si>
  <si>
    <t>As a note – the year 2022 is linked to the year in cell D3 on the Data2 tab and will automatically change when that title is change (i.e. we enter 2023 data and change the title on the Data2 tab)</t>
  </si>
  <si>
    <t>a.2.c.iv – Cell D35 Dropdown is the Yes/No Dropdown on Data2 tab under cell D28. No conditional formatting</t>
  </si>
  <si>
    <t>a.2.c.iv – Cell D37 Dropdown is the Metro/Non-Metro QCT Dropdown on Data2 tab under cell I35. No conditional formatting</t>
  </si>
  <si>
    <t>a.2.c.iv – Cell D39 is a blank cell for data entry by applicant.  The data entered by the applicant will lookup from the Data2 tab depending if the applicant selects “Metro” or “Non-Metro.”  If they select “Metro” then it will lookup from the 2022 QCT’s data under cell F3 on the Data2 tab. If they select “Non-Metro” then it will lookup from the 2022 Non-Metro QCT’s data under cell I3 on the Data2 tab.</t>
  </si>
  <si>
    <r>
      <t xml:space="preserve">If cell D35 is “Yes” and cell D37 is “Metro” and valid data is entered in cell D39 then cells E39-H39 will turn green and say “The QCT is in the HUD 2022 database” </t>
    </r>
    <r>
      <rPr>
        <sz val="11"/>
        <color rgb="FFFF0000"/>
        <rFont val="Calibri"/>
        <family val="2"/>
        <scheme val="minor"/>
      </rPr>
      <t>I had county name popping up but we ran into issues because some codes were in multiple counties so I removed it.</t>
    </r>
  </si>
  <si>
    <t>If cell D35 is “Yes” and cell D37 is “Metro” and invalid data is entered in cell D39 then cells E39-H39 will turn red and say “Invalid Entry - The QCT is not in the HUD 2022 database”</t>
  </si>
  <si>
    <r>
      <t xml:space="preserve">If cell D35 is “Yes” and cell D37 is “Non-Metro” and valid data is entered in cell D39 then cells E40-H40 will turn green and say “The QCT is in the HUD 2022 database” </t>
    </r>
    <r>
      <rPr>
        <sz val="11"/>
        <color rgb="FFFF0000"/>
        <rFont val="Calibri"/>
        <family val="2"/>
        <scheme val="minor"/>
      </rPr>
      <t>I had county name popping up but we ran into issues because some codes were in multiple counties so I removed it.</t>
    </r>
  </si>
  <si>
    <t>If cell D35 is “Yes” and cell D37 is “Non-Metro” and invalid data is entered in cell D39 then cells E40-H40 will turn red and say “Invalid Entry - The QCT is not in the HUD 2022 database”</t>
  </si>
  <si>
    <t>a.3.a – Blank for applicant data entry - nothing programmed</t>
  </si>
  <si>
    <t>a.3.b – Blank for applicant data entry - nothing programmed</t>
  </si>
  <si>
    <t>a.3.d.1 - Cell D91 Dropdown is the Yes/No Dropdown on Data2 tab under cell D28. No conditional formatting</t>
  </si>
  <si>
    <t>a.3.d.2 - Cell D95 Dropdown is the Yes/No Dropdown on Data2 tab under cell D28. No conditional formatting</t>
  </si>
  <si>
    <t>a.3.d.2 – Cell D98 is blank for applicant data entry - nothing programmed</t>
  </si>
  <si>
    <t xml:space="preserve">     Conditional Formatting: </t>
  </si>
  <si>
    <t>NOTES:</t>
  </si>
  <si>
    <t xml:space="preserve">Developer fee may not exceed the limits established in Rule Chapter 67-48, F.A.C., or this RFA.  Any portion of the fee that </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</si>
  <si>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</si>
  <si>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</si>
  <si>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</si>
  <si>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</si>
  <si>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</si>
  <si>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</si>
  <si>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</si>
  <si>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</si>
  <si>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</si>
  <si>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For Application purposes, the maximum hard and soft cost contingencies allowed cannot exceed 5% of hard and soft costs </t>
  </si>
  <si>
    <t xml:space="preserve">(column 3 for A1.3. TOTAL ACTUAL CONSTRUCTION COSTS and column 3 for A2.1. TOTAL GENERAL DEVELOPMENT </t>
  </si>
  <si>
    <t xml:space="preserve">COST, respectively), as further described in Rule Chapter 67-48, F.A.C., or this RFA. </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</si>
  <si>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</si>
  <si>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</si>
  <si>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</si>
  <si>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Operating Deficit Reserves (ODR) of any kind are not to be included in C. DEVELOPMENT COST and cannot be used in </t>
  </si>
  <si>
    <t xml:space="preserve">determining the maximum Developer fee.  In addition, an ODR is not permitted in this Application at all.  If one has been </t>
  </si>
  <si>
    <t xml:space="preserve">included, it will be removed by the scorer, reducing total costs.  However, one may be included during the credit underwriting </t>
  </si>
  <si>
    <t>credit underwriting.</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</si>
  <si>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</si>
  <si>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</si>
  <si>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in the TDC PU Limitation process.</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</si>
  <si>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</si>
  <si>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</si>
  <si>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subject to the Total Development Cost Per Unit Limitation as provided in the RFA, as well as the other cost limitations provided </t>
  </si>
  <si>
    <t>in Rule Chapter 67-48, F.A.C., as applicable.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</si>
  <si>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</si>
  <si>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</si>
  <si>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</si>
  <si>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Indicate the number of total units in the proposed Development:</t>
  </si>
  <si>
    <r>
      <t xml:space="preserve">General Contractor Fee </t>
    </r>
    <r>
      <rPr>
        <b/>
        <vertAlign val="superscript"/>
        <sz val="9"/>
        <rFont val="Arial"/>
        <family val="2"/>
      </rPr>
      <t>See Note (3)</t>
    </r>
  </si>
  <si>
    <r>
      <t xml:space="preserve">HARD COST CONTINGENCY </t>
    </r>
    <r>
      <rPr>
        <b/>
        <vertAlign val="superscript"/>
        <sz val="9"/>
        <color theme="1"/>
        <rFont val="Arial"/>
        <family val="2"/>
      </rPr>
      <t>See Note (4)</t>
    </r>
  </si>
  <si>
    <r>
      <t xml:space="preserve">SOFT COST CONTINGENCY </t>
    </r>
    <r>
      <rPr>
        <b/>
        <vertAlign val="superscript"/>
        <sz val="9"/>
        <color theme="1"/>
        <rFont val="Arial"/>
        <family val="2"/>
      </rPr>
      <t>See Note (4)</t>
    </r>
  </si>
  <si>
    <r>
      <t xml:space="preserve">Developer Fee </t>
    </r>
    <r>
      <rPr>
        <b/>
        <i/>
        <vertAlign val="superscript"/>
        <sz val="9"/>
        <rFont val="Arial"/>
        <family val="2"/>
      </rPr>
      <t>See Note (1)</t>
    </r>
  </si>
  <si>
    <r>
      <t xml:space="preserve">OPERATING DEFICIT RESERVES </t>
    </r>
    <r>
      <rPr>
        <b/>
        <vertAlign val="superscript"/>
        <sz val="9"/>
        <color theme="1"/>
        <rFont val="Arial"/>
        <family val="2"/>
      </rPr>
      <t>See Note (5)</t>
    </r>
  </si>
  <si>
    <r>
      <t xml:space="preserve">TOTAL DEVELOPMENT COST </t>
    </r>
    <r>
      <rPr>
        <b/>
        <vertAlign val="superscript"/>
        <sz val="9"/>
        <rFont val="Arial"/>
        <family val="2"/>
      </rPr>
      <t>See Note (7)</t>
    </r>
  </si>
  <si>
    <t>Does the proposed Development qualify for the Public Housing Authority Areas of Opportunity basis boost?</t>
  </si>
  <si>
    <t xml:space="preserve">Added rows 84 &amp; 85 for PHA AofO Basis Boost </t>
  </si>
  <si>
    <t>FHFC - MMRB</t>
  </si>
  <si>
    <t>Local HFA Bonds</t>
  </si>
  <si>
    <t>Seller Financing</t>
  </si>
  <si>
    <t>State Legislation</t>
  </si>
  <si>
    <t>USDA RD 538</t>
  </si>
  <si>
    <t>USDA RD 515</t>
  </si>
  <si>
    <t>USDA RD 514/516</t>
  </si>
  <si>
    <t>Local Government Subsidy</t>
  </si>
  <si>
    <t>Regulated Mortgage Lender</t>
  </si>
  <si>
    <t>South Florida Keys Area</t>
  </si>
  <si>
    <t>North Florida Keys Area</t>
  </si>
  <si>
    <t>Tax-Exempt Bonds</t>
  </si>
  <si>
    <t>SF-RC-NG-</t>
  </si>
  <si>
    <t>SF-RC-GA-</t>
  </si>
  <si>
    <t>SF-NC-MR-W</t>
  </si>
  <si>
    <t>SF-NC-MR-ESSC</t>
  </si>
  <si>
    <t>SF-NC-HR-ESSC</t>
  </si>
  <si>
    <t>SF-NC-GA-W</t>
  </si>
  <si>
    <t>SF-NC-GA-ESSC</t>
  </si>
  <si>
    <t>PF-RC-NG-</t>
  </si>
  <si>
    <t>PF-RC-GA-</t>
  </si>
  <si>
    <t>PF-NC-MR-W</t>
  </si>
  <si>
    <t>PF-NC-MR-ESSC</t>
  </si>
  <si>
    <t>PF-NC-HR-ESSC</t>
  </si>
  <si>
    <t>PF-NC-GA-W</t>
  </si>
  <si>
    <t>PF-NC-GA-ESSC</t>
  </si>
  <si>
    <t>2021-2022</t>
  </si>
  <si>
    <t>Total Units</t>
  </si>
  <si>
    <t>to or less than the TDC PU Limitation provided in the RFA?.......................................................</t>
  </si>
  <si>
    <t xml:space="preserve">Is the proposed Development's TDC PU for Limitation purposes equal </t>
  </si>
  <si>
    <t>Derivation of the TDC PU of the proposed Development for Limitation purposes:</t>
  </si>
  <si>
    <t>The TDC PU Base Limitation for the above defined Development is………………………………………....</t>
  </si>
  <si>
    <t>*For TDC PU Limitation purposes, Garden Apartments include all structure types that are 3 stories or less (Garden Apartments, Single Family Homes, Duplexes, Quadraplexes, and Townhouses).</t>
  </si>
  <si>
    <t>Total Blended TDC PU Base Limitation</t>
  </si>
  <si>
    <t>Rehab Non-Garden</t>
  </si>
  <si>
    <t>Rehab Garden</t>
  </si>
  <si>
    <t>NC High-Rise</t>
  </si>
  <si>
    <t>NC Mid-Rise ESS</t>
  </si>
  <si>
    <t>NC Mid-Rise Non-ESS</t>
  </si>
  <si>
    <t>NC Garden ESS</t>
  </si>
  <si>
    <t>NC Garden Non-ESS</t>
  </si>
  <si>
    <t>Pro Rata Limits</t>
  </si>
  <si>
    <t>Maximum TDC PU Limitation</t>
  </si>
  <si>
    <t>Unit Count</t>
  </si>
  <si>
    <t>Unit Category, Type, and ESS Designation</t>
  </si>
  <si>
    <t>In which county is the proposed Development to be located?...............................................................................</t>
  </si>
  <si>
    <t>TDC PU LIMITATION ANALYSIS</t>
  </si>
  <si>
    <t xml:space="preserve">assumptions, FHFC's TDC PU for Limitation purposes of the proposed Development or the TDC PU Limitation determined by FHFC may be different than the </t>
  </si>
  <si>
    <t xml:space="preserve">The intent of this page is to assist the Applicant in determining a TDC PU Limitation for the proposed Development and comparing it to the appropriate </t>
  </si>
  <si>
    <t>$ Per Unit</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</si>
  <si>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</si>
  <si>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The Developer Fee on Acquisition or Non-Acquisition Costs cannot exceed the maximum developer fee percentage of the relative qualifying costs:</t>
  </si>
  <si>
    <t>Some items placed in this general category should be classified as ineligible basis.* Examples include syndication fees, credit underwriting of a tax-exempt bond, bond issuance costs.*</t>
  </si>
  <si>
    <t>If tax-exempt bonds are part of the construction financing, this line item cannot have any costs in the first column.</t>
  </si>
  <si>
    <t>Any costs associated with the issuance of tax-exempt bonds are to be excluded from eligible basis.*</t>
  </si>
  <si>
    <t>Some items placed in this general category should be classified as ineligible basis. Examples include tenant relocation costs when the building they were occupying is to be demolished, partnership organization fees, syndication legal fees.*</t>
  </si>
  <si>
    <t>Title insurance and recording fees associated with permanent financing sources are not to be included in eligible basis.*</t>
  </si>
  <si>
    <t>Relocation costs are considered to be ineligible basis when the building from which the tenants came is demolished, unless otherwise addressed by IRC Section 42.*</t>
  </si>
  <si>
    <t>The cost of a land, boundary or mortgage survey that help to define the entire property is to be excluded from eligible basis.*</t>
  </si>
  <si>
    <t>The cost of certain surveys that will not necessarily need to be redone when the proposed building(s) are demolished and replaced are to be excluded from eligible basis, including soil borings, geotechnical investigations, suitability studies, wetland reviews, mapping of wetland, and inspections of wetland, wetland characterization, and groundwater investigations.</t>
  </si>
  <si>
    <t>The cost of property taxes accrued outside of the term beginning at time of acquisition through issuance of the certificate of occupancy (or temporary) are to be excluded from eligible basis.*</t>
  </si>
  <si>
    <t>The market study required by IRS prior to the issuance of the Carryover Agreement is to be excluded from eligible basis.*</t>
  </si>
  <si>
    <t>Certain legal fees are to be excluded from eligible basis, such as those associated with issuance of tax-exempt bonds, partnership costs, land acquisition, and negotiating financing.*</t>
  </si>
  <si>
    <t>Bank inspector fees associated with tax-exempt bonds are to be excluded from eligible basis.*</t>
  </si>
  <si>
    <t>Do not include any part of any impact fees that are to be paid initially, but will be returned/refunded back to the Applicant at a later date, usually upon delivery of an affordable housing development.</t>
  </si>
  <si>
    <r>
      <t>FHFC PRL/Credit Underwriting Fees</t>
    </r>
    <r>
      <rPr>
        <vertAlign val="superscript"/>
        <sz val="9"/>
        <rFont val="Arial"/>
        <family val="2"/>
      </rPr>
      <t xml:space="preserve"> See Note (2)</t>
    </r>
  </si>
  <si>
    <r>
      <t xml:space="preserve">FHFC Compliance Fee </t>
    </r>
    <r>
      <rPr>
        <vertAlign val="superscript"/>
        <sz val="9"/>
        <rFont val="Arial"/>
        <family val="2"/>
      </rPr>
      <t xml:space="preserve">See Note (2) </t>
    </r>
  </si>
  <si>
    <r>
      <t>FHFC Application Fee</t>
    </r>
    <r>
      <rPr>
        <vertAlign val="superscript"/>
        <sz val="9"/>
        <rFont val="Arial"/>
        <family val="2"/>
      </rPr>
      <t xml:space="preserve"> See Note (2) </t>
    </r>
  </si>
  <si>
    <r>
      <t xml:space="preserve">FHFC Administrative Fee </t>
    </r>
    <r>
      <rPr>
        <vertAlign val="superscript"/>
        <sz val="9"/>
        <rFont val="Arial"/>
        <family val="2"/>
      </rPr>
      <t xml:space="preserve">See Note (2) </t>
    </r>
  </si>
  <si>
    <t>The cost of environment surveys such as percolation tests and contamination studies are to be excluded from eligible basis.*</t>
  </si>
  <si>
    <t>The cost of the preparation of erosion control plan, grading plan, utility plans, general details, easement descriptions, sewer and sanitary plans and traffic engineering are to be excluded from eligible basis.*</t>
  </si>
  <si>
    <t>The cost of preparing the cost certifications and any accounting fees associated with organizing the Applicant entity are to be excluded from eligible basis.*</t>
  </si>
  <si>
    <t>The cost of landscaping that would not be physically destroyed when the proposed building(s) is to be demolished (at the end of its useful life) and replaced is to be excluded from eligible basis.*</t>
  </si>
  <si>
    <t>The cost of clearing, grubbing, cutting, filling and grading necessary to bring the land to a suitable grade (but not activity that provides a proper setting for a building or a paved roadway) are to be excluded from eligible basis.*</t>
  </si>
  <si>
    <t xml:space="preserve">The cost of commercial/retail space is to be excluded from eligible basis.*  </t>
  </si>
  <si>
    <r>
      <t xml:space="preserve">Commercial/Retail Space </t>
    </r>
    <r>
      <rPr>
        <vertAlign val="superscript"/>
        <sz val="9"/>
        <rFont val="Arial"/>
        <family val="2"/>
      </rPr>
      <t>See Note (6)</t>
    </r>
  </si>
  <si>
    <t xml:space="preserve">The cost of demolition is to be excluded from eligible basis.*  </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</si>
  <si>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</si>
  <si>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If a double asterisk is indicated within the Development Cost Pro Forma, there is an error on that line item.</t>
  </si>
  <si>
    <t>Conditional formatting pink is R:255; G:220; B:255, or Hex:#FFDCFF</t>
  </si>
  <si>
    <t>Added formula with conditional formatting in cell I19 to determine the minimum number of HOME-Assisted Units and compares to HOME-Assisted units entered in table to the left.</t>
  </si>
  <si>
    <t>LGC</t>
  </si>
  <si>
    <t>LG AofO</t>
  </si>
  <si>
    <t>Minimum # of Units - Florida Keys</t>
  </si>
  <si>
    <t>Created Minimum Unit counts for Keys, Miami-Dade, and in General</t>
  </si>
  <si>
    <t>Units, Set-Asides, Buildings Tab</t>
  </si>
  <si>
    <t>Updated conditional formatting in K3 to account for minimum units for deals in Monroe, Maimi-Dade and in General</t>
  </si>
  <si>
    <t>Automating Funding Tab to Pro Forma Tab</t>
  </si>
  <si>
    <t>Housing Credit Request Amount</t>
  </si>
  <si>
    <t>Competitive Housing Credit Request Amount (annual amount):</t>
  </si>
  <si>
    <t>Non-Competitive Housing Credit Request Amount (annual amount):</t>
  </si>
  <si>
    <t>Hidden formulas:</t>
  </si>
  <si>
    <t>General Information</t>
  </si>
  <si>
    <t>Column J is used to manually indicate if the input cell on that row is (a) not pertanent to the specific RFA (=1), (b) mandated to be completed (=1), or (c) it optional to be completed (=2)</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</si>
  <si>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</si>
  <si>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</si>
  <si>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Column K is used to manually indicate if the input cell on that row is (a) not pertanent to the specific RFA (=1), (b) mandated to be completed (=1), or (c) it optional to be completed (=2)</t>
  </si>
  <si>
    <t xml:space="preserve">Column L is used to automatically track the number of required or optional fields have entries. If there is an entry, the reference in column K is repeated. </t>
  </si>
  <si>
    <r>
      <t xml:space="preserve">White-out the input &amp; marker indicators in columns L:N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</si>
  <si>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K:M in </t>
    </r>
    <r>
      <rPr>
        <b/>
        <sz val="11"/>
        <color theme="1"/>
        <rFont val="Calibri"/>
        <family val="2"/>
        <scheme val="minor"/>
      </rPr>
      <t>Proposed Development</t>
    </r>
    <r>
      <rPr>
        <sz val="11"/>
        <color theme="1"/>
        <rFont val="Calibri"/>
        <family val="2"/>
        <scheme val="minor"/>
      </rPr>
      <t xml:space="preserve"> Info tab:</t>
    </r>
  </si>
  <si>
    <r>
      <t xml:space="preserve">White-out the input &amp; marker indicators in columns J:L in </t>
    </r>
    <r>
      <rPr>
        <b/>
        <sz val="11"/>
        <color theme="1"/>
        <rFont val="Calibri"/>
        <family val="2"/>
        <scheme val="minor"/>
      </rPr>
      <t>General Information</t>
    </r>
    <r>
      <rPr>
        <sz val="11"/>
        <color theme="1"/>
        <rFont val="Calibri"/>
        <family val="2"/>
        <scheme val="minor"/>
      </rPr>
      <t xml:space="preserve"> tab:</t>
    </r>
  </si>
  <si>
    <t>§</t>
  </si>
  <si>
    <t>For all Development Types except Mid-Rise and High-Rise: Energy Star rating for all windows in each unit;</t>
  </si>
  <si>
    <t>o</t>
  </si>
  <si>
    <t>U-Factor of 0.50 or less and a SHHGC of 0.25 or less where the fenestration is fixed; and</t>
  </si>
  <si>
    <t>U-Factor of 0.65 or less and a SHHGC of 0.25 or less where the fenestration is operable (i.e., the window opens)</t>
  </si>
  <si>
    <t>Energy efficient windows in each unit as provided below</t>
  </si>
  <si>
    <t>CountyData is a named range for A10: P76</t>
  </si>
  <si>
    <t>Local Government Contribution Variables</t>
  </si>
  <si>
    <t>Is the 5-Point LGC in effect for this RFA?</t>
  </si>
  <si>
    <r>
      <t xml:space="preserve">Does the 5-Point LGC process utilze Face or </t>
    </r>
    <r>
      <rPr>
        <sz val="11"/>
        <color theme="1"/>
        <rFont val="Calibri"/>
        <family val="2"/>
      </rPr>
      <t>Δ</t>
    </r>
    <r>
      <rPr>
        <sz val="11"/>
        <color theme="1"/>
        <rFont val="Calibri"/>
        <family val="2"/>
        <scheme val="minor"/>
      </rPr>
      <t xml:space="preserve"> NPV?</t>
    </r>
  </si>
  <si>
    <t>Is the LGAO in effect for this RFA?</t>
  </si>
  <si>
    <t>(Per County minimums found in CountData, column 3)</t>
  </si>
  <si>
    <t>(Per County/Development Type minimums found in CountData, column 4)</t>
  </si>
  <si>
    <t>Has a Local Government committed to provide a contribution to the proposed Development?</t>
  </si>
  <si>
    <t>NPV</t>
  </si>
  <si>
    <t>LG Verification of Contribution</t>
  </si>
  <si>
    <t>Face Amount</t>
  </si>
  <si>
    <t>Net Present Value</t>
  </si>
  <si>
    <t>Value of Contribution</t>
  </si>
  <si>
    <t>Loan Form(s)</t>
  </si>
  <si>
    <t>Grant Form(s)</t>
  </si>
  <si>
    <t>Fee Waiver Form(s)</t>
  </si>
  <si>
    <t>Fee Deferral Form(s)</t>
  </si>
  <si>
    <t>Totals</t>
  </si>
  <si>
    <t>Please enter the cumulative total values of all relative forms provided as Attachment 14. If more than one form of the same kind is provided, please add the amounts together and enter the total. Value of Contribution is calculated automatically by taking the Face Amount and subtracting the Net Present Value (calculated as provided in the RFA).</t>
  </si>
  <si>
    <t>Local Government Areas of Opportunity Designation</t>
  </si>
  <si>
    <t>Name of Local Government</t>
  </si>
  <si>
    <t>Jean</t>
  </si>
  <si>
    <t>Standard format for input cells: Font- R:0, G:0, B: 255, or Hex:#0000FF; Background- R:255, G:242, B:204, Hex:#FFF2CC</t>
  </si>
  <si>
    <t>Total Cash</t>
  </si>
  <si>
    <t>Total Cash Loan(s)</t>
  </si>
  <si>
    <t>Total Cash Grant(s)</t>
  </si>
  <si>
    <t>Construction Features</t>
  </si>
  <si>
    <t>Changed the "# points" cells in column H and summation formula to be simpler</t>
  </si>
  <si>
    <t>Resident Programs</t>
  </si>
  <si>
    <t>Added check boxes for 8.d.(3) with conditional formatting</t>
  </si>
  <si>
    <t>Added check boxes for 9.b.(3) with conditional formatting</t>
  </si>
  <si>
    <t>Local Government Contributions</t>
  </si>
  <si>
    <t>Reworded the page to automate the recognition of the County, Development Category, minimum LGC, minimum LGAofO</t>
  </si>
  <si>
    <t>Inserted tables to pull data regarding LGC and LGAofO</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</si>
  <si>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</si>
  <si>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</si>
  <si>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</si>
  <si>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</si>
  <si>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RFA number with the payment. Additionally, include the following:</t>
  </si>
  <si>
    <t>Re-formatted top paragraph to capture intended structure and named input field</t>
  </si>
  <si>
    <t>Per Unit Construction Funding Preference Minimum</t>
  </si>
  <si>
    <t>Funding Limits Per Program</t>
  </si>
  <si>
    <t>Per Development</t>
  </si>
  <si>
    <t>Per Unit</t>
  </si>
  <si>
    <t>See Above Table</t>
  </si>
  <si>
    <t>Per 0 Bd Unit</t>
  </si>
  <si>
    <t>Per 1 Bd Unit</t>
  </si>
  <si>
    <t>Per 2 Bd Unit</t>
  </si>
  <si>
    <t>Per 3 Bd Unit</t>
  </si>
  <si>
    <t>Per 4 Bd Unit</t>
  </si>
  <si>
    <t>Per Development - Large County</t>
  </si>
  <si>
    <t>Per Development - Small or Medium County</t>
  </si>
  <si>
    <t>Per Development - Preservation/Rehab w or w/o Acq</t>
  </si>
  <si>
    <t>22% AMI</t>
  </si>
  <si>
    <t>30% AMI</t>
  </si>
  <si>
    <t>Per Development - Minimum Miami-Dade</t>
  </si>
  <si>
    <t>Per Unit - Not Self-Sourced</t>
  </si>
  <si>
    <t>Per Unit - Self-Sourced</t>
  </si>
  <si>
    <t>Per Development - Florida Keys</t>
  </si>
  <si>
    <t>Per Development - NOT in Florida Keys</t>
  </si>
  <si>
    <t>Per Unit @ 80% AMI - NOT in Florida Keys</t>
  </si>
  <si>
    <t>Applicant's Workforce SAIL Request Amount:</t>
  </si>
  <si>
    <t>Per WF Only/HC Only Unit - Florida Keys</t>
  </si>
  <si>
    <t>Per HC Unit when no units above 80% AMI- Florida Keys</t>
  </si>
  <si>
    <t>Per Development in Florida Keys</t>
  </si>
  <si>
    <t>Per Unit in Keys if any above 80% AMI or no AIT</t>
  </si>
  <si>
    <t>Per Unit in Keys if AIT &amp; none above 80% AMI</t>
  </si>
  <si>
    <t>Per Development Exclusive of Florida Keys</t>
  </si>
  <si>
    <t>Per Unit Exclusive of Florida Keys</t>
  </si>
  <si>
    <t>SAIL + ELI</t>
  </si>
  <si>
    <t>Grant</t>
  </si>
  <si>
    <t>Maximum Grant Request Amount Per Development:</t>
  </si>
  <si>
    <t xml:space="preserve">Applicant's Grant Request Amount:  </t>
  </si>
  <si>
    <t>Applicant's ELI Loan Request Amount:</t>
  </si>
  <si>
    <t>Per Development - Large Counties</t>
  </si>
  <si>
    <t>Per Development - Small and Medium Counties</t>
  </si>
  <si>
    <t>Per Development - Preservation or Rehabilitation*</t>
  </si>
  <si>
    <t>Per Development - Minimum for Miami-Dade County</t>
  </si>
  <si>
    <t>Per Unit - Self-Sourced Applicants</t>
  </si>
  <si>
    <t>Per Unit - Non-Self-Sourced Applicants</t>
  </si>
  <si>
    <t xml:space="preserve">Workforce SAIL Request Amount Limits:  </t>
  </si>
  <si>
    <t xml:space="preserve">SAIL Request Amount Limits:  </t>
  </si>
  <si>
    <t>*with or without Acquisition</t>
  </si>
  <si>
    <t>Does the Applicant qualify as a Self-Sourced Applicant?</t>
  </si>
  <si>
    <t>Per Unit for New Construction</t>
  </si>
  <si>
    <t>Per Unit for Substantial Rehabilitation</t>
  </si>
  <si>
    <t>Per Development - Demographic Basis</t>
  </si>
  <si>
    <t>Per Development - Demographic, RFA Dependent</t>
  </si>
  <si>
    <t xml:space="preserve">ELI Request Amount Limits:  </t>
  </si>
  <si>
    <t>Per Unit - New Construction</t>
  </si>
  <si>
    <t>Per Unit - Substantial Rehabilitation</t>
  </si>
  <si>
    <t>Percent of TDC when ELI Units &lt;5% of total units</t>
  </si>
  <si>
    <t>Percent of TDC when ELI Units &gt;=5% of total units</t>
  </si>
  <si>
    <t>Section 5.A.1.
Verifying Application Fee Payment</t>
  </si>
  <si>
    <t>Eligibility Items</t>
  </si>
  <si>
    <t>Met</t>
  </si>
  <si>
    <t>Submission Requirements met*</t>
  </si>
  <si>
    <t>Verification that the Applicant has not closed on the Tax-Exempt Bond financing prior to the Application Deadline</t>
  </si>
  <si>
    <t>Applicant Certification and Acknowledgement form provided and meets requirements</t>
  </si>
  <si>
    <t>Demographic Commitment selected</t>
  </si>
  <si>
    <t>Name of Applicant provided</t>
  </si>
  <si>
    <t>Evidence Applicant is a legally formed entity provided</t>
  </si>
  <si>
    <t>Name of Each Developer provided</t>
  </si>
  <si>
    <t>Evidence that each Developer entity is a legally formed entity provided</t>
  </si>
  <si>
    <t>Principals for Applicant and Developer(s) Disclosure Form provided and meets requirements</t>
  </si>
  <si>
    <t>Contact Information for Management Company provided</t>
  </si>
  <si>
    <t>Prior General Management Company Experience requirement met</t>
  </si>
  <si>
    <t>Authorized Principal Representative provided and meets requirements</t>
  </si>
  <si>
    <t>Name of Proposed Development provided</t>
  </si>
  <si>
    <t>Development Category selected</t>
  </si>
  <si>
    <t>Development Category Qualifying Conditions met</t>
  </si>
  <si>
    <t>Development Type provided</t>
  </si>
  <si>
    <t>Breakdown of number of units associated with each Development Type, Development Category and ESS/Non-ESS provided, if applicable</t>
  </si>
  <si>
    <t>County identified</t>
  </si>
  <si>
    <t>Address of Development Site provided</t>
  </si>
  <si>
    <t>Question whether a Scattered Sites Development answered</t>
  </si>
  <si>
    <t>Development Location Point provided</t>
  </si>
  <si>
    <t>Latitude and Longitude Coordinates for any Scattered Sites provided, if applicable</t>
  </si>
  <si>
    <t>Mandatory Distance Requirement met</t>
  </si>
  <si>
    <t>Total Number of Units provided and within limits</t>
  </si>
  <si>
    <t>Number of new construction units and rehabilitation units provided</t>
  </si>
  <si>
    <t>Occupancy status of any existing units provided, if Rehabilitation</t>
  </si>
  <si>
    <t>Minimum Set-Aside election provided</t>
  </si>
  <si>
    <t>Unit Mix provided and meets requirements</t>
  </si>
  <si>
    <t>Number of residential buildings provided</t>
  </si>
  <si>
    <t>Evidence of Site Control provided</t>
  </si>
  <si>
    <t>Appropriate Zoning demonstrated</t>
  </si>
  <si>
    <t>Availability of Water demonstrated</t>
  </si>
  <si>
    <t>Availability of Sewer demonstrated</t>
  </si>
  <si>
    <t>Green Building Certification or Minimum Additional Green Building Features selected, as applicable</t>
  </si>
  <si>
    <t>Minimum Resident Programs selected</t>
  </si>
  <si>
    <t xml:space="preserve">Applicant’s SAIL Funding Request Amount </t>
  </si>
  <si>
    <t>Eligible SAIL Request Amount Meets Minimum Request Amount (Miami-Dade County only)</t>
  </si>
  <si>
    <t>Applicant’s Non-Competitive Housing Credit Request Amount</t>
  </si>
  <si>
    <t>Applicant’s MMRB Request Amount (if Corporation-issued Bonds) or Bond Request Amount and Other Required Information (if Non-Corporation-issued Bonds)</t>
  </si>
  <si>
    <t>Development Cost Pro Forma provided (listing expenses or uses) and Construction/Rehab analysis and Permanent analysis (listing sources) – Sources must equal or exceed uses</t>
  </si>
  <si>
    <t>Financial Arrearage Requirement and Insurance Deficiency Requirement met**</t>
  </si>
  <si>
    <t>Verification of no prior acceptance to an invitation to enter credit underwriting for the same Development in a previous RFA ***</t>
  </si>
  <si>
    <t>Verification of no recent de-obligations ****</t>
  </si>
  <si>
    <t>Total Development Cost Per Unit Limitation met*****</t>
  </si>
  <si>
    <t>Name of Management Company provided</t>
  </si>
  <si>
    <t xml:space="preserve">Applicant’s Workforce SAIL Funding Request Amount </t>
  </si>
  <si>
    <t xml:space="preserve">Applicant’s ELI Funding Request Amount </t>
  </si>
  <si>
    <t>Applicant's Grant Funding Request Amount</t>
  </si>
  <si>
    <t>Applicant's Competitive Housing Credit Request Amount</t>
  </si>
  <si>
    <r>
      <t xml:space="preserve">White-out the input &amp; marker indicators in columns K:P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</si>
  <si>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columns O:Q in </t>
    </r>
    <r>
      <rPr>
        <b/>
        <sz val="11"/>
        <color theme="1"/>
        <rFont val="Calibri"/>
        <family val="2"/>
        <scheme val="minor"/>
      </rPr>
      <t>Eligibility Table</t>
    </r>
    <r>
      <rPr>
        <sz val="11"/>
        <color theme="1"/>
        <rFont val="Calibri"/>
        <family val="2"/>
        <scheme val="minor"/>
      </rPr>
      <t xml:space="preserve"> tab:</t>
    </r>
  </si>
  <si>
    <t># of Bedrooms</t>
  </si>
  <si>
    <t>ELI Per Unit</t>
  </si>
  <si>
    <t>Total ELI</t>
  </si>
  <si>
    <t>ELI Funding</t>
  </si>
  <si>
    <t>Funded ELI</t>
  </si>
  <si>
    <t>Per Unit (from the 'Units, Set-Asides, Buildings' tab)</t>
  </si>
  <si>
    <t>Housing Authority:</t>
  </si>
  <si>
    <t xml:space="preserve">If the Principal of the Applicant Entity is an instrumentality of a Public Housing Authority, state the name of the Public </t>
  </si>
  <si>
    <t>Competitive Housing Credit Request Amount</t>
  </si>
  <si>
    <t xml:space="preserve">Housing Credit Request Amount Limits:  </t>
  </si>
  <si>
    <t>Per Development - Hillsborough, Orange, Palm Beach</t>
  </si>
  <si>
    <t>Per Development - Medium Counties</t>
  </si>
  <si>
    <t>Per Development - Small Counties</t>
  </si>
  <si>
    <t>Per Development - Preservation, Large</t>
  </si>
  <si>
    <t>Per Development - Keys Workforce (&lt;61 units)</t>
  </si>
  <si>
    <t>Per Development - Keys Workforce (&gt;60 units)</t>
  </si>
  <si>
    <t>9% HCs</t>
  </si>
  <si>
    <t>Added manual control factors in column N that will disengage the usefulness of that line as well as add formatting to easily identify any lines to be hidden. Also added a manual control factor in column K that will count the input as a required input, an optional input, or remove the section from the RFA.</t>
  </si>
  <si>
    <t>Added all of the limiting request amounts currently known, establised a cell to determine the maximum limit and is tied to the entry cell to not allow an entry in excess of the limit.</t>
  </si>
  <si>
    <t>Per Unit - Keys Workforce (&lt;61 units)</t>
  </si>
  <si>
    <t>Per Unit - Keys Workforce (&gt;60 units)</t>
  </si>
  <si>
    <t>Per Development - Broward, Miami-Dade</t>
  </si>
  <si>
    <t>Per Development - Small Counties (PDC/PDD)</t>
  </si>
  <si>
    <t>* Other Dev(elopment) Type means any Development Type that is not specifically identified in the chart but could be selected in drop-down menu in A.4.A.c.</t>
  </si>
  <si>
    <t>Created new tab to track the completion of eligible items. Automated 8 of the rows to determine if item eligibility has been met</t>
  </si>
  <si>
    <t>Eligibility Table</t>
  </si>
  <si>
    <t>B. Other Information</t>
  </si>
  <si>
    <t>Created a column that lists the GEO AofO for the County and then re-program the conditional messages and formatting to the GEO AofO area.</t>
  </si>
  <si>
    <t>Created a column that lists the QCTs for the County per Metro/Non-Metro designation, then re-programmed the conditional messages and formattng to the QCT area.</t>
  </si>
  <si>
    <t>Changed</t>
  </si>
  <si>
    <r>
      <t>a.2.c.iii – Cell D31 Dropdown is the Yes/No Dropdown on Data2 tab under cell D28. No conditional formatting</t>
    </r>
    <r>
      <rPr>
        <sz val="11"/>
        <color rgb="FFFF0000"/>
        <rFont val="Calibri"/>
        <family val="2"/>
        <scheme val="minor"/>
      </rPr>
      <t xml:space="preserve"> Automated based on selected County.</t>
    </r>
  </si>
  <si>
    <r>
      <t>a.</t>
    </r>
    <r>
      <rPr>
        <strike/>
        <sz val="11"/>
        <color theme="1"/>
        <rFont val="Calibri"/>
        <family val="2"/>
        <scheme val="minor"/>
      </rPr>
      <t>2</t>
    </r>
    <r>
      <rPr>
        <sz val="11"/>
        <color rgb="FFFF0000"/>
        <rFont val="Calibri"/>
        <family val="2"/>
        <scheme val="minor"/>
      </rPr>
      <t>5</t>
    </r>
    <r>
      <rPr>
        <sz val="11"/>
        <color theme="1"/>
        <rFont val="Calibri"/>
        <family val="2"/>
        <scheme val="minor"/>
      </rPr>
      <t>.c.ii – Cell D26-28 are blank cells for data entry by applicant. The data entered by the applicant will lookup from the data under cell A3 (2022 ZCTAs) in the Data2 tab.</t>
    </r>
  </si>
  <si>
    <r>
      <t>a.</t>
    </r>
    <r>
      <rPr>
        <strike/>
        <sz val="11"/>
        <color theme="1"/>
        <rFont val="Calibri"/>
        <family val="2"/>
        <scheme val="minor"/>
      </rPr>
      <t>2</t>
    </r>
    <r>
      <rPr>
        <sz val="11"/>
        <color rgb="FFFF0000"/>
        <rFont val="Calibri"/>
        <family val="2"/>
        <scheme val="minor"/>
      </rPr>
      <t>5</t>
    </r>
    <r>
      <rPr>
        <sz val="11"/>
        <color theme="1"/>
        <rFont val="Calibri"/>
        <family val="2"/>
        <scheme val="minor"/>
      </rPr>
      <t>.c.ii – Cell D24. Dropdown is the Yes/No Dropdown on Data2 tab under cell D28. No conditional formatting</t>
    </r>
  </si>
  <si>
    <r>
      <t>a.</t>
    </r>
    <r>
      <rPr>
        <strike/>
        <sz val="11"/>
        <color theme="1"/>
        <rFont val="Calibri"/>
        <family val="2"/>
        <scheme val="minor"/>
      </rPr>
      <t>2</t>
    </r>
    <r>
      <rPr>
        <sz val="11"/>
        <color rgb="FFFF0000"/>
        <rFont val="Calibri"/>
        <family val="2"/>
        <scheme val="minor"/>
      </rPr>
      <t>5</t>
    </r>
    <r>
      <rPr>
        <sz val="11"/>
        <color theme="1"/>
        <rFont val="Calibri"/>
        <family val="2"/>
        <scheme val="minor"/>
      </rPr>
      <t xml:space="preserve">.c.i – Cell D22 is just an empty cell for applicant to enter data. No conditional formatting. </t>
    </r>
    <r>
      <rPr>
        <sz val="11"/>
        <color rgb="FFFF0000"/>
        <rFont val="Calibri"/>
        <family val="2"/>
        <scheme val="minor"/>
      </rPr>
      <t>Do we want to add a list of application numbers? That may be overkill.</t>
    </r>
    <r>
      <rPr>
        <sz val="11"/>
        <color theme="1"/>
        <rFont val="Calibri"/>
        <family val="2"/>
        <scheme val="minor"/>
      </rPr>
      <t xml:space="preserve"> </t>
    </r>
    <r>
      <rPr>
        <sz val="11"/>
        <color rgb="FF7030A0"/>
        <rFont val="Calibri"/>
        <family val="2"/>
        <scheme val="minor"/>
      </rPr>
      <t>Agree on overkill</t>
    </r>
  </si>
  <si>
    <r>
      <t>a.</t>
    </r>
    <r>
      <rPr>
        <strike/>
        <sz val="11"/>
        <color theme="1"/>
        <rFont val="Calibri"/>
        <family val="2"/>
        <scheme val="minor"/>
      </rPr>
      <t>2</t>
    </r>
    <r>
      <rPr>
        <sz val="11"/>
        <color rgb="FFFF0000"/>
        <rFont val="Calibri"/>
        <family val="2"/>
        <scheme val="minor"/>
      </rPr>
      <t>5</t>
    </r>
    <r>
      <rPr>
        <sz val="11"/>
        <color theme="1"/>
        <rFont val="Calibri"/>
        <family val="2"/>
        <scheme val="minor"/>
      </rPr>
      <t xml:space="preserve">.c.i – Cell D20, Dropdown is the Yes/No Dropdown on Data2 tab under cell D28. No conditional formatting </t>
    </r>
    <r>
      <rPr>
        <sz val="11"/>
        <color rgb="FFFF0000"/>
        <rFont val="Calibri"/>
        <family val="2"/>
        <scheme val="minor"/>
      </rPr>
      <t>a.(5)(b) now has conditional formatting</t>
    </r>
  </si>
  <si>
    <r>
      <t>a.</t>
    </r>
    <r>
      <rPr>
        <strike/>
        <sz val="11"/>
        <color theme="1"/>
        <rFont val="Calibri"/>
        <family val="2"/>
        <scheme val="minor"/>
      </rPr>
      <t>2</t>
    </r>
    <r>
      <rPr>
        <sz val="11"/>
        <color rgb="FFFF0000"/>
        <rFont val="Calibri"/>
        <family val="2"/>
        <scheme val="minor"/>
      </rPr>
      <t>5</t>
    </r>
    <r>
      <rPr>
        <sz val="11"/>
        <color theme="1"/>
        <rFont val="Calibri"/>
        <family val="2"/>
        <scheme val="minor"/>
      </rPr>
      <t xml:space="preserve">.b – Dropdown is the Yes/No Dropdown on Data2 tab under cell D28. No conditional formatting </t>
    </r>
    <r>
      <rPr>
        <sz val="11"/>
        <color rgb="FFFF0000"/>
        <rFont val="Calibri"/>
        <family val="2"/>
        <scheme val="minor"/>
      </rPr>
      <t>I have to assume this is now a.(5)(b) and has conditional formatting.</t>
    </r>
  </si>
  <si>
    <r>
      <t>a.</t>
    </r>
    <r>
      <rPr>
        <strike/>
        <sz val="11"/>
        <color theme="1"/>
        <rFont val="Calibri"/>
        <family val="2"/>
        <scheme val="minor"/>
      </rPr>
      <t>2</t>
    </r>
    <r>
      <rPr>
        <sz val="11"/>
        <color rgb="FFFF0000"/>
        <rFont val="Calibri"/>
        <family val="2"/>
        <scheme val="minor"/>
      </rPr>
      <t>5</t>
    </r>
    <r>
      <rPr>
        <sz val="11"/>
        <color theme="1"/>
        <rFont val="Calibri"/>
        <family val="2"/>
        <scheme val="minor"/>
      </rPr>
      <t xml:space="preserve">.a – Blank for applicant data entry - nothing programmed. </t>
    </r>
    <r>
      <rPr>
        <sz val="11"/>
        <color rgb="FFFF0000"/>
        <rFont val="Calibri"/>
        <family val="2"/>
        <scheme val="minor"/>
      </rPr>
      <t>We should do some conditional formatting and popup based on the dollar amount entered by applicant and whether or not it is acceptable based on other application parameters selected</t>
    </r>
  </si>
  <si>
    <t>Based on manual input in column K (0=Not in this RFA, 1=Required in RFA, 2=Optional in RFA), if a 0 is entered, that section will be hastagged to identify it to be hidden and removed outline numbers to automatically re-number.</t>
  </si>
  <si>
    <t>Added a table below the unit mix table that determines the prorata distribution of all ELI units as well as any ELI funding when applicable</t>
  </si>
  <si>
    <t>Reshuffled column widths to insert column K to track prorata ELI distribution per the new table along with conditional formatting</t>
  </si>
  <si>
    <t>Programmed variables to assist with LG tab automation</t>
  </si>
  <si>
    <t>Created minimum ELI percentages for AIT and non-AIT to flow with formulas</t>
  </si>
  <si>
    <t>Created entries to show/hide RFA creation notations for 5 (so far) tabs</t>
  </si>
  <si>
    <t>Created a minimum amount for PU Construction Funding Preference</t>
  </si>
  <si>
    <t>Maximum TBD Request Amount Per Development:</t>
  </si>
  <si>
    <t>Maximum TBD Request Amount Per Unit:</t>
  </si>
  <si>
    <t>(this section is simply a place holder with no formulas)</t>
  </si>
  <si>
    <t>First completed affordable rental housing development that meets the management experience requirement outlined in Section Four of the RFA</t>
  </si>
  <si>
    <t>Second completed affordable rental housing development that meets the management experience requirement outlined in Section Four of the RFA</t>
  </si>
  <si>
    <r>
      <t xml:space="preserve">White-out the input &amp; marker indicators in columns K:M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</si>
  <si>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J:L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</si>
  <si>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K:M in </t>
    </r>
    <r>
      <rPr>
        <b/>
        <sz val="11"/>
        <color theme="1"/>
        <rFont val="Calibri"/>
        <family val="2"/>
        <scheme val="minor"/>
      </rPr>
      <t>Proximity, Mand.Dist., RECAP</t>
    </r>
    <r>
      <rPr>
        <sz val="11"/>
        <color theme="1"/>
        <rFont val="Calibri"/>
        <family val="2"/>
        <scheme val="minor"/>
      </rPr>
      <t xml:space="preserve"> tab:</t>
    </r>
  </si>
  <si>
    <t>Enter 0 to reflect Workforce units, 1 for Market Rate units</t>
  </si>
  <si>
    <t>Rehabilitation w/ or w/o Acquisition</t>
  </si>
  <si>
    <r>
      <t xml:space="preserve">White-out the input &amp; marker indicators in columns P:R in </t>
    </r>
    <r>
      <rPr>
        <b/>
        <sz val="11"/>
        <color theme="1"/>
        <rFont val="Calibri"/>
        <family val="2"/>
        <scheme val="minor"/>
      </rPr>
      <t>Units, Set-Asides, Buildings</t>
    </r>
    <r>
      <rPr>
        <sz val="11"/>
        <color theme="1"/>
        <rFont val="Calibri"/>
        <family val="2"/>
        <scheme val="minor"/>
      </rPr>
      <t xml:space="preserve"> tab:</t>
    </r>
  </si>
  <si>
    <t>Comments provided in Units, Set-Asides, Buildings tab for Unit Mix table</t>
  </si>
  <si>
    <t>Farmworker/Commercial Fish Worker</t>
  </si>
  <si>
    <t>North of SW 224th Street</t>
  </si>
  <si>
    <t>South of SW 224th Street</t>
  </si>
  <si>
    <t>QCTs in &lt;County&gt;=CountyQCTs</t>
  </si>
  <si>
    <t>GAOs in &lt;County&gt;=CountyGAOs</t>
  </si>
  <si>
    <t>Entered formulas for CountyQCTs and CountyGAOs</t>
  </si>
  <si>
    <t>FHFC_Source_1_Name, FHFC_Source_1_AMT, FHFC_Source_1_Label</t>
  </si>
  <si>
    <t>FHFC_Source_2_Name, FHFC_Source_2_AMT, FHFC_Source_2_Label</t>
  </si>
  <si>
    <t>FHFC_Source_3_Name, FHFC_Source_3_AMT, FHFC_Source_3_Label</t>
  </si>
  <si>
    <t>FHFC_Source_4_Name, FHFC_Source_4_AMT, FHFC_Source_4_Label</t>
  </si>
  <si>
    <t>Destination Conditional Formatting</t>
  </si>
  <si>
    <t>Broward, Miami-Dade</t>
  </si>
  <si>
    <t>Hillsborough, Orange, Palm Beach</t>
  </si>
  <si>
    <t>Medium Counties</t>
  </si>
  <si>
    <t>Per Development - Duval</t>
  </si>
  <si>
    <t>Small Counties that are not Monroe</t>
  </si>
  <si>
    <t>Large Counties &amp; Preservation w/ or w/o Acquisition</t>
  </si>
  <si>
    <t>Small Counties &amp; PDD or PDC Demographic</t>
  </si>
  <si>
    <t>Monroe, any # of units</t>
  </si>
  <si>
    <t>Monroe, units &gt; 60</t>
  </si>
  <si>
    <t>Added 2021 County ELI %</t>
  </si>
  <si>
    <t>Updated LGC and LGAofO amounts for each county 2021</t>
  </si>
  <si>
    <t>Named Range is CountyData</t>
  </si>
  <si>
    <t>Added Funding limits for Workforce SAIL, SAIL, ELI, HOME, Grant, 9%HC</t>
  </si>
  <si>
    <t>Created Unit limits for various programs &amp; related comments</t>
  </si>
  <si>
    <t>Added dropdown menues for N/S FL Keys and N/S SW 224th Street</t>
  </si>
  <si>
    <t>Added formulas to track total #, completed, to be completed or to be ignored fields as either eligible or optional inputs.</t>
  </si>
  <si>
    <t>Proposed Development Tab</t>
  </si>
  <si>
    <t>If fields (rows/sections) are to be ignored, rows to be hidden are highlighted</t>
  </si>
  <si>
    <t>Conditional formatting to turn green if an input is entered or pink if an input is invalid, when applicable</t>
  </si>
  <si>
    <t>Development Location Tab</t>
  </si>
  <si>
    <t>Proximity, Mand.Dist., RECAP tab</t>
  </si>
  <si>
    <t>Readiness to Proceed Tab</t>
  </si>
  <si>
    <t>Added location questions for North/South FL Keys, North/South Miami-Dade County</t>
  </si>
  <si>
    <t>Conditional formatting to turn green if an input is entered, when applicable</t>
  </si>
  <si>
    <t>Added Rail Station and # to be selected in (2)(b) flows in (2) wording</t>
  </si>
  <si>
    <t>The set-aside table not selected will be "greyed" out.</t>
  </si>
  <si>
    <t>In the 40%@60% table, the AMIs less than ELI will be "greyed" out.</t>
  </si>
  <si>
    <t>Inserted a row in the AIT table to account for total units</t>
  </si>
  <si>
    <t>Incorporated an automation of using "Workforce" or "Market-Rate" discriptors.</t>
  </si>
  <si>
    <t>The unit mix table incorporates error or confirmation messages for compliance with various unit limits</t>
  </si>
  <si>
    <t>Updated conditional formatting</t>
  </si>
  <si>
    <t>Formatted to fit standard criteria</t>
  </si>
  <si>
    <t>Leveraging Classification</t>
  </si>
  <si>
    <t>The Leveraging Classification process must first determine the Applicant's total Corporation funding per set-aside unit and includes the following steps:</t>
  </si>
  <si>
    <t>Leveraging Classification variables</t>
  </si>
  <si>
    <t>Eligible Housing Credit Request Amount multiplier</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</si>
  <si>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</si>
  <si>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</si>
  <si>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</si>
  <si>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</si>
  <si>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</si>
  <si>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</si>
  <si>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</si>
  <si>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t>
  </si>
  <si>
    <t>Rate of Florida Jobs per unit for Multifamily Rehab Only units</t>
  </si>
  <si>
    <t>Rate of Florida Jobs per unit for Multifamily units with Acq &amp; Rehab</t>
  </si>
  <si>
    <t>Rate of Florida Jobs per unit for Multifamily new construction units</t>
  </si>
  <si>
    <t>Rate of Florida Jobs per unit for Single Family new construction units</t>
  </si>
  <si>
    <t>Loan multiplier for have a Housing Credit basis boost</t>
  </si>
  <si>
    <t>TDC PU Base Limitations</t>
  </si>
  <si>
    <t>w/ PHA/Federal Add-On</t>
  </si>
  <si>
    <t>w/ Bond Add-On</t>
  </si>
  <si>
    <t>Elderly ALF Multiplier</t>
  </si>
  <si>
    <t>Constr Features Multiplier</t>
  </si>
  <si>
    <t>North FL Keys Multiplier</t>
  </si>
  <si>
    <t>South FL Keys Multiplier</t>
  </si>
  <si>
    <t>Leveraging Classification Development Type Multipliers</t>
  </si>
  <si>
    <t>The applicable Eligible Housing Credit Request Amount</t>
  </si>
  <si>
    <t>The applicable Eligible SAIL Request Amount</t>
  </si>
  <si>
    <t>Does the proposed Development indicate it qualifies for a Housing Credit basis boost?</t>
  </si>
  <si>
    <t>Does the proposed Development indicate it is located in Broward County?</t>
  </si>
  <si>
    <t>Does the Applicant indicate it has a PHA or an instrumentality of a PHA as a Principal?</t>
  </si>
  <si>
    <t>What is the Applicant's total Corporation's funding?</t>
  </si>
  <si>
    <t>The applicable Eligible Grant Request Amount</t>
  </si>
  <si>
    <t>Is implied eligible housing credit equity a factor?</t>
  </si>
  <si>
    <t>Is Grant funding a factor?</t>
  </si>
  <si>
    <t>Is SAIL funding a factor?</t>
  </si>
  <si>
    <t>Is HOME funding a factor?</t>
  </si>
  <si>
    <t>Minimum Florida Job Creation Score 1</t>
  </si>
  <si>
    <t>Minimum Florida Job Creation Score 2</t>
  </si>
  <si>
    <t>Only recognized when SAIL &amp; Grant are "Yes" and Demographic is PDD.</t>
  </si>
  <si>
    <t>Florida Job Creation Preference score</t>
  </si>
  <si>
    <t>Score is rounded to two decimals to allow a visual pass</t>
  </si>
  <si>
    <t>Manually override if any single row is not to be used</t>
  </si>
  <si>
    <t>Need to incorporate into template when needed</t>
  </si>
  <si>
    <t>Florida Job Creation Funding Preference (2022-2023 RFA Cycle)</t>
  </si>
  <si>
    <t>Name of each Developer (including all co-Developers, one per line)</t>
  </si>
  <si>
    <t>State whether the Development consists of Scattered Sites</t>
  </si>
  <si>
    <t>Does the proposed Development consist of Scattered Sites?</t>
  </si>
  <si>
    <t>a</t>
  </si>
  <si>
    <t>Applicable Add-On(s):</t>
  </si>
  <si>
    <t>Applicable Multiplier(s):</t>
  </si>
  <si>
    <t>Demographic Multiplier (Non Eld-ALF)</t>
  </si>
  <si>
    <t>PDD/PDC Unit Multiplier (1)(&lt;51 Units)</t>
  </si>
  <si>
    <t>PDD/PDC Unit Multiplier (2)(&gt;50,&lt;81 Units)</t>
  </si>
  <si>
    <t>TDC PU Base Add-Ons and Multipliers</t>
  </si>
  <si>
    <t>Geo</t>
  </si>
  <si>
    <t>AHP</t>
  </si>
  <si>
    <t>CDBG-DR</t>
  </si>
  <si>
    <t>CWHIP</t>
  </si>
  <si>
    <t>CWHLP</t>
  </si>
  <si>
    <t>Exchange</t>
  </si>
  <si>
    <t>FAF</t>
  </si>
  <si>
    <t>FDIC</t>
  </si>
  <si>
    <t>FHLB</t>
  </si>
  <si>
    <t>Legislative Appropriation</t>
  </si>
  <si>
    <t>PLP</t>
  </si>
  <si>
    <t>RRLP</t>
  </si>
  <si>
    <t>SB 1852 NMS</t>
  </si>
  <si>
    <t>SHADP</t>
  </si>
  <si>
    <t>SHIP</t>
  </si>
  <si>
    <t>Surtax</t>
  </si>
  <si>
    <t>TCAP</t>
  </si>
  <si>
    <t>HUD First Mortgage</t>
  </si>
  <si>
    <t>HHRP</t>
  </si>
  <si>
    <t>All Inclusive List - Dev. Exp. Programs (DevExpProgs)</t>
  </si>
  <si>
    <t>Affordable Housing Program(s) that Provided Financing</t>
  </si>
  <si>
    <t>4.A.2.</t>
  </si>
  <si>
    <t>4.A.3.b.(3)(a)</t>
  </si>
  <si>
    <t>Initial Date for Developer Experience</t>
  </si>
  <si>
    <t>Developer Experience Variables</t>
  </si>
  <si>
    <t>Funding Program Requirement</t>
  </si>
  <si>
    <t># of Developments to meet minimum units</t>
  </si>
  <si>
    <t>Housing Credits</t>
  </si>
  <si>
    <t>Application Deadline</t>
  </si>
  <si>
    <t>Minimum total number of units %</t>
  </si>
  <si>
    <t>Minimum total number of units #</t>
  </si>
  <si>
    <t>Is minimum % or minimum # used in RFA?</t>
  </si>
  <si>
    <t>Percentage</t>
  </si>
  <si>
    <t>Number</t>
  </si>
  <si>
    <t>4.A.4.b.(1)</t>
  </si>
  <si>
    <t>4.A.5.a.</t>
  </si>
  <si>
    <t>4.A.5.a.(2)</t>
  </si>
  <si>
    <t>4.A.5.a.(1)</t>
  </si>
  <si>
    <t>4.A.5.c.</t>
  </si>
  <si>
    <t>4.A.6.b.</t>
  </si>
  <si>
    <t>4.A.6.d.(1)</t>
  </si>
  <si>
    <t>4.A.3.c.(3)</t>
  </si>
  <si>
    <t>4.A.8.d.(2)</t>
  </si>
  <si>
    <t>4.A.3.d. &amp; e.</t>
  </si>
  <si>
    <t>4.A.3.d.(2)</t>
  </si>
  <si>
    <t>4.A.6.a.</t>
  </si>
  <si>
    <t>Minimum # of Units - Pinellas</t>
  </si>
  <si>
    <t>Minimum Units Variables</t>
  </si>
  <si>
    <t>Miami-Dade Relative Location</t>
  </si>
  <si>
    <t>FL Keys Relative Location</t>
  </si>
  <si>
    <t>Management Experience Variables</t>
  </si>
  <si>
    <t>PU Constr Preference Variable</t>
  </si>
  <si>
    <t>Minimum Unit Mix Variables</t>
  </si>
  <si>
    <t>4.A.6.e.</t>
  </si>
  <si>
    <t>Named Ranges for TDC PU Base Limitations</t>
  </si>
  <si>
    <t>4.A.11.d.</t>
  </si>
  <si>
    <t>Non-Competitive</t>
  </si>
  <si>
    <t>Controls to hide RFA set-up guides</t>
  </si>
  <si>
    <t>Min # of Years each</t>
  </si>
  <si>
    <t># of affordable housing developments to list</t>
  </si>
  <si>
    <t>Indicated Development Category</t>
  </si>
  <si>
    <t>Minimum Unit Requirement</t>
  </si>
  <si>
    <t>Qualifying Unit Measure</t>
  </si>
  <si>
    <t>Rehabilitation Expenses</t>
  </si>
  <si>
    <t>Rehabilitation Expense Requirement</t>
  </si>
  <si>
    <t>Qualified Basis per HC Unit Requirement</t>
  </si>
  <si>
    <t>Qualified Basis per HC Unit Measure</t>
  </si>
  <si>
    <t>Qualified basis of rehab expenses &gt;= $25K per HC Unit</t>
  </si>
  <si>
    <t>Rehab expenses &gt;= 20% of adjusted basis of acquired building</t>
  </si>
  <si>
    <t>Adjusted Basis of Acquired Building</t>
  </si>
  <si>
    <t>4.A.4.b.(3)(b)</t>
  </si>
  <si>
    <t>All Inclusive List - RA Contract (RA_Source)</t>
  </si>
  <si>
    <t>Section 202</t>
  </si>
  <si>
    <t>Section 236</t>
  </si>
  <si>
    <t>RD 514</t>
  </si>
  <si>
    <t>RD 516</t>
  </si>
  <si>
    <t>Section 811</t>
  </si>
  <si>
    <t>Qualifying Basis Boost Factor</t>
  </si>
  <si>
    <t>Number of HC Set-Aside Units</t>
  </si>
  <si>
    <t>Total Set-Aside Percentage</t>
  </si>
  <si>
    <t>Add-On</t>
  </si>
  <si>
    <t>Multiplier</t>
  </si>
  <si>
    <t>TDC PU Base Limitation</t>
  </si>
  <si>
    <t>Maximum # of Units - Broward, Miami-Dade</t>
  </si>
  <si>
    <t>New Construction / Redev / Acq &amp; Redev</t>
  </si>
  <si>
    <t>App's Min #:</t>
  </si>
  <si>
    <t>App's Max #:</t>
  </si>
  <si>
    <t>of the Applicant. Applicant is responsible to verify and be in compliance with all aspects of the Application to meet RFA criteria.</t>
  </si>
  <si>
    <t xml:space="preserve">any programing errors. FHFC will not use this page to score TDC PU Limitation criteria.  If FHFC makes any adjustments to the Applicant's data or </t>
  </si>
  <si>
    <t xml:space="preserve">RFA's TDC PU Limitation. The accuracy of the comparison is dependent upon the accuracy of the inputs and Florida Housing takes no responsibility in </t>
  </si>
  <si>
    <t xml:space="preserve">amounts provided below. Please read the RFA for qualifying responses and definition of terms. This table is optional and its use is at the sole discretion </t>
  </si>
  <si>
    <t>Blended Characteristic TDC PU Base Limitation*</t>
  </si>
  <si>
    <t>Does the proposed Development qualify for any TDC PU Add-Ons or Multipliers?</t>
  </si>
  <si>
    <t>The final overall TDC PU Limitation for the above defined Development is……….....………………</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</si>
  <si>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</si>
  <si>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</si>
  <si>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</si>
  <si>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</si>
  <si>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</si>
  <si>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</si>
  <si>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TDC of the proposed Development for Limitation Purposes:….................................................................................</t>
  </si>
  <si>
    <t>TDC PU of the proposed Development for Limitation Purposes:…..............................................................................</t>
  </si>
  <si>
    <t>Required Davis-Bacon</t>
  </si>
  <si>
    <t>Qualifying Financial Assistance Funding Preference</t>
  </si>
  <si>
    <t>Cash loans, cash grants and/or cash-on-hand indicated in Development Cost Pro Forma:</t>
  </si>
  <si>
    <t>Percent of SAIL/Grant Request Amount</t>
  </si>
  <si>
    <t>Does the amount of Cash Funding meet the minimum requirement?</t>
  </si>
  <si>
    <t>Does the Applicant have a donation of land by a Local Government that meets all of the criteria provided in the RFA to qualify for the Qualifying Financial Assistance Funding Preference?</t>
  </si>
  <si>
    <t>Allowance for Higher Costs of Enhanced Safety and Accessibility Features</t>
  </si>
  <si>
    <t>Does the Application qualify for the Construction Features Multiplier described in the RFA?</t>
  </si>
  <si>
    <t>Request Amount Basis</t>
  </si>
  <si>
    <t>SAIL/Grant</t>
  </si>
  <si>
    <t>Base</t>
  </si>
  <si>
    <t>Funding?</t>
  </si>
  <si>
    <t>Cash</t>
  </si>
  <si>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</si>
  <si>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4.A.6.d.(2)</t>
  </si>
  <si>
    <t>Minimum Set-Asides Variables</t>
  </si>
  <si>
    <t>AMI</t>
  </si>
  <si>
    <t>Minimum ELI Commitments &amp; Distribution Variables</t>
  </si>
  <si>
    <t>4.A.6.d.&amp;e.</t>
  </si>
  <si>
    <t>App Status</t>
  </si>
  <si>
    <t>If AIT, Average HC AMI in App</t>
  </si>
  <si>
    <t>Enter 0 to "hide" units above 60% AMI, 1 to include them</t>
  </si>
  <si>
    <t>Non-ELI Set-Aside Commitment Term</t>
  </si>
  <si>
    <t>ELI Set-Aside Commitment Term</t>
  </si>
  <si>
    <t>Years</t>
  </si>
  <si>
    <t>Applicants requesting MMRB Funding along with Housing Credits will have the following MMRB Set-Aside Commitment:</t>
  </si>
  <si>
    <t>MMRB Units</t>
  </si>
  <si>
    <t>Meets?</t>
  </si>
  <si>
    <t>Minimum Loan-Only Set-Asides (6.d.(2)(a))</t>
  </si>
  <si>
    <t>Maximum Loan-Only AMI Set-Aside (6.d.(2)(a))</t>
  </si>
  <si>
    <t>AIT Hurdle</t>
  </si>
  <si>
    <t>AIT App</t>
  </si>
  <si>
    <t>2022-2023</t>
  </si>
  <si>
    <t>Update TDC Limitation Numbers to 2022-2023 version</t>
  </si>
  <si>
    <t>Added Basic Cost Pro Forma formulas</t>
  </si>
  <si>
    <t>Added Conditional Formatting to Detail/Explanation Sheet Text Boxes</t>
  </si>
  <si>
    <t>Added Conditional Formatting to hide SAIL helpful hints (on non-SAIL Apps)</t>
  </si>
  <si>
    <t>Incorporated Basic Cost Pro Forma Structure WIP</t>
  </si>
  <si>
    <t>Incorporated Basic Con &amp;Perm Analysis Pro Forma Structure WIP</t>
  </si>
  <si>
    <t>Reworked TDC Limitation Section</t>
  </si>
  <si>
    <t>40% of units at 60% of Area Median Income (AMI) or lower</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</si>
  <si>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</si>
  <si>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</si>
  <si>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</si>
  <si>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</si>
  <si>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</si>
  <si>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</si>
  <si>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</si>
  <si>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</si>
  <si>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</si>
  <si>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</si>
  <si>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</si>
  <si>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</si>
  <si>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</si>
  <si>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Can accommodate 2 or 3</t>
  </si>
  <si>
    <t>Lesser of Maximum Request Amount Per Development, or Maximum Request Amount via Per Unit Limit:</t>
  </si>
  <si>
    <t>Lesser of Maximum Request Amount Per Development, or Total Maximum Subsidy Allowed:</t>
  </si>
  <si>
    <t>Lesser of Maximum Request Amount Per Development, or Total Maximum Request Amount via Per Unit Limit:</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</si>
  <si>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Non-ALF/ETP</t>
    </r>
  </si>
  <si>
    <r>
      <t xml:space="preserve">Maximum Units </t>
    </r>
    <r>
      <rPr>
        <u/>
        <sz val="11"/>
        <color theme="1"/>
        <rFont val="Calibri"/>
        <family val="2"/>
        <scheme val="minor"/>
      </rPr>
      <t>over 2 Bedrooms</t>
    </r>
    <r>
      <rPr>
        <sz val="11"/>
        <color theme="1"/>
        <rFont val="Calibri"/>
        <family val="2"/>
        <scheme val="minor"/>
      </rPr>
      <t xml:space="preserve">, </t>
    </r>
    <r>
      <rPr>
        <b/>
        <sz val="11"/>
        <color theme="1"/>
        <rFont val="Calibri"/>
        <family val="2"/>
        <scheme val="minor"/>
      </rPr>
      <t>Elderly Non-ALF/ETP</t>
    </r>
  </si>
  <si>
    <r>
      <t xml:space="preserve">Minimum 0&amp;1 Bedroom Units, </t>
    </r>
    <r>
      <rPr>
        <b/>
        <sz val="11"/>
        <color theme="1"/>
        <rFont val="Calibri"/>
        <family val="2"/>
        <scheme val="minor"/>
      </rPr>
      <t>Elderly Non-ALF/ETP</t>
    </r>
  </si>
  <si>
    <r>
      <t xml:space="preserve">Maximum Units over 2 Bedrooms, </t>
    </r>
    <r>
      <rPr>
        <b/>
        <sz val="11"/>
        <color theme="1"/>
        <rFont val="Calibri"/>
        <family val="2"/>
        <scheme val="minor"/>
      </rPr>
      <t>Elderly Non-ALF/ETP</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</si>
  <si>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t>
    </r>
  </si>
  <si>
    <t>The requirement limiting the number of units with more than 2 bedrooms is not met.</t>
  </si>
  <si>
    <t>Individual Eligibility Notice</t>
  </si>
  <si>
    <t>Grouped Eligibiltiy Notice</t>
  </si>
  <si>
    <t>The minimum 0- and 1-bedroom unit requirement is not met.</t>
  </si>
  <si>
    <t>The maximum 0-bedroom unit requirement is not met.</t>
  </si>
  <si>
    <t>The minimum 1-bedroom unit requirement is not met.</t>
  </si>
  <si>
    <t>The maximum 3-bedroom unit requirement is not met.</t>
  </si>
  <si>
    <t xml:space="preserve"> Units entered do not equal Total Units.</t>
  </si>
  <si>
    <t>=IF(Name_Of_Applicant="","",IF(OR($N28=0,</t>
  </si>
  <si>
    <t>=IF(Name_Of_Applicant="","",IF(OR($N29=0,</t>
  </si>
  <si>
    <t>=IF(Name_Of_Applicant="","",IF(OR($N30=0,</t>
  </si>
  <si>
    <t>Qualified Basis Calculations</t>
  </si>
  <si>
    <t>Acquisition</t>
  </si>
  <si>
    <t>New Costs</t>
  </si>
  <si>
    <t>Less Cost of Land and Existing Improvements...............................................................................................</t>
  </si>
  <si>
    <t>Less Developer Fee on Acquisition of Buildings….................................................................</t>
  </si>
  <si>
    <t>Less Other Ineligible Costs…..................................................................................................</t>
  </si>
  <si>
    <t>Annual Housing Credit Allocation Per Qualified Basis…......................................................</t>
  </si>
  <si>
    <t>Gap Calculation</t>
  </si>
  <si>
    <t>Total Development Cost (including land and ineligible costs)...........…..............................................................</t>
  </si>
  <si>
    <t>Housing Credit Percentage (Federal allocation)….......................................................................</t>
  </si>
  <si>
    <t>Less Mortgages…....................................................................................................................</t>
  </si>
  <si>
    <t>HC Percentage to Investment Partnership…..............................................................................................................</t>
  </si>
  <si>
    <t>HC Syndication Pricing…..............................................................................................................</t>
  </si>
  <si>
    <t>HC Required to meet Equity Gap…..............................................................................................................</t>
  </si>
  <si>
    <t>HC Summary</t>
  </si>
  <si>
    <t>HC Per Qualified Basis…............…..............................................................................................................</t>
  </si>
  <si>
    <t>Annual HC Recommended…................................................................................................................</t>
  </si>
  <si>
    <t>HC Proceeds Recommended…...................................................................................................</t>
  </si>
  <si>
    <t>Tax Exempt Bond 50% Test</t>
  </si>
  <si>
    <t>Total DEPRECIABLE Cost….........................................…..............................................................</t>
  </si>
  <si>
    <t>Plus Land Cost…....................................................................................................................</t>
  </si>
  <si>
    <t>Aggregate Basis…............…..............................................................................................................</t>
  </si>
  <si>
    <t>Tax Exempt Proceeds as a Percentage of Aggregate Basis..............................................................................................................</t>
  </si>
  <si>
    <t xml:space="preserve">Verifies the Authorized Principal Representative name on the Certification page matches the name on the General Information Tab. </t>
  </si>
  <si>
    <t>Verifies a demographic is selected on the General Information tab. If a 0 is entered in column N this will show as NA and be greyed out.</t>
  </si>
  <si>
    <t>Verifies applicants name is entered on General Information Tab. If a 0 is entered in column N on this tab and/or column K on the General Information tab this will show as NA and be greyed out.</t>
  </si>
  <si>
    <t>TBD - If a 0 is entered in column N this will show as NA and be greyed out.</t>
  </si>
  <si>
    <t>Verifies at least 1 Developer name is entered on the General Information Tab. If a 0 is entered in column N on this tab and/or column K on the General Information tab this will show as NA and be greyed out.</t>
  </si>
  <si>
    <t>Verifies a Management company name is entered on the General Information Tab. If a 0 is entered in column N on this tab and/or column K on the General Information tab this will show as NA and be greyed out.</t>
  </si>
  <si>
    <t>Verifies a Management company name, address, city, state, zip and phone number are entered on the General Information Tab. If a 0 is entered in column N on this tab and/or column K on the General Information tab this will show as NA and be greyed out.</t>
  </si>
  <si>
    <t>Verifies Authorized Principal Representatives first name, middle initial, and last name are entered on the General Information Tab. If a 0 is entered in column N on this tab and/or column K on the General Information tab this will show as NA and be greyed out.</t>
  </si>
  <si>
    <t>Verifies Proposed Development Name is entered on the Proposed Development Tab. If a 0 is entered in column N on this tab and/or column K on the General Information tab this will show as NA and be greyed out.</t>
  </si>
  <si>
    <t>Verifies Development Category is entered on the Proposed Development Tab. If a 0 is entered in column N on this tab and/or column K on the General Information tab this will show as NA and be greyed out.</t>
  </si>
  <si>
    <t>Verifies Development Type is entered on the Proposed Development Tab. If a 0 is entered in column N on this tab and/or column K on the General Information tab this will show as NA and be greyed out.</t>
  </si>
  <si>
    <t>Verifies Total Units at the bottom of the Unit Characteristics Chart on the Proposed Development Tab is equal to Total Units under letter (a) on the Units, Set-Asides, Buildings Tab and that both the ESS Construction Funding Preference and Development Category (number 1) on the Proposed Development Tab have a selection made (so are not blank or the &lt;select one&gt; default). If a 0 is entered in column N on this tab and/or column K on the General Information tab for Development Category and/or ESS Construction Funding Preference and/or for all Unit Characteristic rows this will show as NA and be greyed out.</t>
  </si>
  <si>
    <t>Definition of what is being tested (key to Kevin's formulas):</t>
  </si>
  <si>
    <t>Verifies a County Name is selected on the Development Location Tab. If a 0 is entered in column N on this tab this will show as NA and be greyed out.</t>
  </si>
  <si>
    <t>Verifies Address of Development Site is entered on the Development Location Tab. If a 0 is entered in column N on this tab and/or column L on the Development Location Tab this will show as NA and be greyed out.</t>
  </si>
  <si>
    <t>Verifies that an answer as to whether or not the Development Consists of Scattered Sites on the Development Location Tab. If a 0 is entered in column N on this tab and/or column L on the Development Location Tab this will show as NA and be greyed out.</t>
  </si>
  <si>
    <t>Verifies that if applicant indicates the development has Scattered Sites on the Development Location Tab, that the Scattered Sites Latitude and Longitude Coordinates are entered on the Development Location Tab D(2). If a 0 is entered in column N on this tab and/or column L on the Development Location Tab this will show as NA and be greyed out.</t>
  </si>
  <si>
    <t>Verifies that the Total Units entered on the Units, Set-Asides, Buildings Tab is within the Minimum and Maximum unit limits specified on the Data1 Tab (cells F238 &amp; F239). If a 0 is entered in column N on this tab this will show as NA and be greyed out.</t>
  </si>
  <si>
    <t>Added Cond Formatting and Error Message to Con/Perm FHFC Sources</t>
  </si>
  <si>
    <t>Added Credit and 50% Test Tables + Hashed Cond Formatting***</t>
  </si>
  <si>
    <t>Added Cond Formatting to Detail/Explanation text boxes</t>
  </si>
  <si>
    <t>Verifies Total Units at the bottom of the Unit Characteristics Chart on the Proposed Development Tab is equal to Total Units under letter (a) on the Units, Set-Asides, Buildings Tab. If a 0 is entered in column N on this tab and/or column K on the General Information tab for all Unit Characteristic rows this will show as NA and be greyed out.</t>
  </si>
  <si>
    <t>Verifies that if a rehabilitation category type is selected as a development category on the Proposed Development Info tab that the type of the category is selected on the Units, Set-Aside, Buildings tab (b). If a 0 is entered in column N on this tab, a new construction category is selected on the Proposed Development Info tab, or nothing is selected for (b) on the Units, Set-Asides, Buildings tab this will show as NA and be greyed out.</t>
  </si>
  <si>
    <t>Verifies a Set Aside Commitment is selected on the Units, Set-Asides, Buildings tab. If a 0 is entered in column N on this tab and/or column P on the Units, Set-Asides, Buildings Tab this will show as NA and be greyed out.</t>
  </si>
  <si>
    <t>Added Cond Formatting to Bond-related helpful hints</t>
  </si>
  <si>
    <t>The notes and indicators herein are intended to assist the Applicant, but accuracy is not guaranteed. The Applicant is responsible to meet all RFA requirements regardless of the notes and indicators. All responses are subject to scoring after submission.</t>
  </si>
  <si>
    <t>Verifies Latitude and Longitude Coordinates are entered on the Development Location Tab. If a 0 is entered in column N on this tab and/or column L on the Development Location Tab this will show as NA and be greyed out.</t>
  </si>
  <si>
    <t>Applicant's HOME Funding Request Amount</t>
  </si>
  <si>
    <r>
      <t>Additional 5% Developer Fee</t>
    </r>
    <r>
      <rPr>
        <sz val="8"/>
        <rFont val="Arial"/>
        <family val="2"/>
      </rPr>
      <t xml:space="preserve"> for the RFA's</t>
    </r>
  </si>
  <si>
    <t>designated Demographic Commitment</t>
  </si>
  <si>
    <t>Verifies the Number of Buildings are entered on Units, Set-Asides, Buildings Tab under (f). If a 0 is entered in column N on this tab and/or column P on the Units, Set-Asides, Buildings Tab this will show as NA and be greyed out.</t>
  </si>
  <si>
    <t>Verifies that the TDC per Unit Limitation is Met via the Pro-Forma Tab. If a 0 is entered in column N this will show as NA and be greyed out.</t>
  </si>
  <si>
    <t>Assumed to be 99.99%. Change as necessary.</t>
  </si>
  <si>
    <t>Tax Exempt Bond Amount…............…..............................................................................................................</t>
  </si>
  <si>
    <t>Market Rate Units</t>
  </si>
  <si>
    <t>AMI Dropdown Menu List (AMI_List)</t>
  </si>
  <si>
    <t>Verifies the number of affordable housing developments required on Data1 tab (E60) is not blank and takes that number and ensures general developer principal experience data on the General Information tab (b3a) is completed for that number of housing developments (3ai-iii as required). Verifies that the years entered for the afforable housing developments on the General Information Information tab (3ai-iii) are ≥ the date entered for the Initial Date for Developer Experience requirement in the Data1 tab cell E58. Verifies that the # of units entered for the afforable housing developments on the General Information Information tab (3ai-iii) are ≥ the the the minimum unit requirement in the Data1 tab based on whether the RFA minimum unit requirement is based on a "percentage" or a "number" of units (cell E64). For percentage requirement it checks cell E62 times # of units (cell J3 in Units, Set-Asides, Buildings tab) and for number requirement it checks cell E63.
Verifies that the funding program selected as a requirement on the Data1 tab (E59) is the same as the funding program selected for the afforable housing developments on the General Information Information tab (3ai-iii). If a 0 is entered in column N on this tab and/or cell K36 on the General Information tab this will show as NA and be greyed out.</t>
  </si>
  <si>
    <t>Verifies the number of affordable housing developments required on Data1 tab (E124) is not blank and takes that number and ensures management company experience data on the General Information tab (d2a &amp; d2b) is completed for that number of housing developments. Verifies that the years entered for the afforable housing developments on the General Information Information tab (d2a &amp; d2b) are ≥ the date entered for the Initial Date for Management Experience requirement in the Data1 tab cell E126. Verifies that the # of units entered for the afforable housing developments on the General Information Information tab (d2a &amp; d2b) are ≥ the the the minimum unit % requirement in the Data1 tab cell E125 times # of units (cell J3 in Units, Set-Asides, Buildings tab).  If a 0 is entered in column N on this tab and/or cell K91 on the General Information tab this will show as NA and be greyed out.</t>
  </si>
  <si>
    <t>Verifies that if a New Construction Development Category (NC, Redev, Acq/Redev) is selected in section b1 of the Proposed Development Info tab the Qualifying unit measure on the Proposed Development Tab is ≥ minimum unit requirement on the Proposed Development Tab (column G).  Verifies that if a Rehab Development Category (Rehab, Acq/Rehab, Pres, Acq/Pres) is selected in section b1 of the Proposed Development Info tab the Qualifying unit measure is ≥ minimum unit requirement on the Proposed Development Tab and the rehab expense measure on the Proposed Development is  &gt; 20%, and the qualified basis per unit measure on the Proposed Development is &gt;$25k (Column H).  If a 0 is entered in column N on this tab and/or cell K91 on the Proposed Development Info tab this will show as NA and be greyed out.</t>
  </si>
  <si>
    <t>Applicable Fraction (percent set-aside units)…..............................................................................................................</t>
  </si>
  <si>
    <t>If the applicant selected set-aside commitment on the Units, Set-Asides, Buildings Tab matches the RFA allowed minimum set-aside commitment on the Data1 tab in either cell A253 (20%/50%) or A254 (40%/60%), then verifies that the total % of units on the Units, Set-Asides, Buildings Tab adds up to 100% and that the Data1 tab (cell H259) indicates that the development meets minimum IRS set-aside requirements and the Data1 tab (cell H265) indicates that the development meets minimum FHFC set-aside requirements. Verifies that if Workforce units are selected via cell R28 on the Units, Set-Asides, Buildings Tab the minimum and maximum HC in Workforce ≤ 60% requirements are met on the Data1 tab (cells H266 &amp; H267) and the Data1 tab confirms that ELI is in the application (cell H269). 
If the applicant selected set-aside commitment on the Units, Set-Asides, Buildings Tab matches the RFA allowed minimum set-aside commitment on the Data1 tab in cell A255 (avg income), then verifies total units in the table on the Units, Set-Asides, Buildings Tab (d2b) is equal to the total units in the development as entered on the Units, Set-Asides, Buildings Tab cell J3, and that the Data1 tab (cell H259) indicates that the development meets minimum IRS set-aside requirements and the Data1 tab (cell H265) indicates that the development meets minimum FHFC set-aside requirements. Verifies that if Workforce units are selected via cell R28 on the Units, Set-Asides, Buildings Tab the minimum and maximum HC in Workforce ≤ 60% requirements are met on the Data1 tab (cells H266 &amp; H267) and the Data1 tab confirms that ELI is in the application (cell H269) and that it is indicated on the Data1 tab (cell H268) that AIT HC AMI is in the application. 
If the applicant selected set-aside commitment on the Units, Set-Asides, Buildings Tab matches the RFA allowed minimum set-aside commitment on the Data1 tab in cell A256 (loan funding set aside), then verifies that the Data1 tab (cell H261) indicates that the development meets minimum loan only set-aside requirements and the Data1 tab (cell H265) indicates that the development meets minimum FHFC set-aside requirements, and the Data1 tab confirms that ELI is in the application (cell H269).
 If a 0 is entered in column N on this tab and/or column P on the Units, Set-Asides, Buildings Tab this will show as NA and be greyed out.</t>
  </si>
  <si>
    <t xml:space="preserve">Verifies that if it is indicated via cell K12 on the Construction Features tab that the RFA requires a green building cert and if a development category of NC, Redev, or Acq/Redev is selected from the Proposed Development Info Tab (cell G6). that a green cert type is selected from the dropdown menu (cell C12). Verifies that if a development category of Rehab, Acq/Rehab, Preservation, or Acq/Preservation is selected from the Proposed Development Info Tab (cell G6) that the total points on the Constuction Features tab in cell H31 is ≥ 10 points.  </t>
  </si>
  <si>
    <t>Verifies the minimum number of required resident programs are selected on the Resident Programs Tab based on the demographic commitment selected on the General Information Tab.</t>
  </si>
  <si>
    <t>Verifies that if it is indicated via cell K15 on the Funding a,b,d,e Tab that the RFA has SAIL Workforce a SAIL Workforce request amount is entered on the Funding a,b,d,e Tab.</t>
  </si>
  <si>
    <t>Verifies that if it is indicated via cell K33 on the Funding a,b,d,e Tab that the RFA has SAIL a SAIL request amount is entered on the Funding a,b,d,e Tab.</t>
  </si>
  <si>
    <t>Verifies that for RFA's that include SAIL with a development located in Miami-Dade County the SAIL Request amount entered on the Funding a,b,d,e Tab is ≥ the mimumum required SAIL Request amount per the Data3 Tab cell C88</t>
  </si>
  <si>
    <t>Verifies that if it is indicated via cell K41 on the Funding a,b,d,e Tab that the RFA has ELI an ELI request amount is entered on the Funding a,b,d,e Tab.</t>
  </si>
  <si>
    <t>Verifies that if it is indicated via cell K57 on the Funding a,b,d,e Tab that the RFA has HOME a HOME request amount is entered on the Funding a,b,d,e Tab.</t>
  </si>
  <si>
    <t>Verifies that if it is indicated via cell K63 on the Funding a,b,d,e Tab that the RFA has Grant Funding a Grant Funding request amount is entered on the Funding a,b,d,e Tab.</t>
  </si>
  <si>
    <t>Verifies that if it is indicated via cell K91 on the Funding a,b,d,e Tab that the RFA has Competitive Housing Credits a Competitive Housing Credits request amount is entered on the Funding a,b,d,e Tab.</t>
  </si>
  <si>
    <t>Verifies that if it is indicated via cell K95 on the Funding a,b,d,e Tab that the RFA has Non-Competitive Housing Credits a Non-Competitive Housing Credits request amount is entered on the Funding a,b,d,e Tab.</t>
  </si>
  <si>
    <t>Verifies that if it is indicated via cell K150 on the Funding a,b,d,e Tab that the RFA has Corporation Issued MMRB a Corporation Issued MMRB request amount is entered on the Funding a,b,d,e Tab. If a First Mortgage amount is entered on the Pro Forma Tab and the type of loan indicated on that tab is Local HFA Bonds then the formula result will be TBD.</t>
  </si>
  <si>
    <t>Verifies that there are numbers entered in the pro forma on the Pro Forma Tab resulting in positive amounts for the Total Development Costs,  Total Construction Funding Sources, Construction Funding Surplus, Total Permanent Funding Sources, and and Permanent Funding Surplus. If there is a funding shortfall in the Construction or Permanent Funding Sources then a No will appear because Sources must exceed Uses.</t>
  </si>
  <si>
    <r>
      <rPr>
        <b/>
        <sz val="11"/>
        <color theme="1"/>
        <rFont val="Calibri"/>
        <family val="2"/>
        <scheme val="minor"/>
      </rPr>
      <t>Non</t>
    </r>
    <r>
      <rPr>
        <sz val="11"/>
        <color theme="1"/>
        <rFont val="Calibri"/>
        <family val="2"/>
        <scheme val="minor"/>
      </rPr>
      <t xml:space="preserve">-AIT, </t>
    </r>
    <r>
      <rPr>
        <b/>
        <sz val="11"/>
        <color theme="1"/>
        <rFont val="Calibri"/>
        <family val="2"/>
        <scheme val="minor"/>
      </rPr>
      <t>Non</t>
    </r>
    <r>
      <rPr>
        <sz val="11"/>
        <color theme="1"/>
        <rFont val="Calibri"/>
        <family val="2"/>
        <scheme val="minor"/>
      </rPr>
      <t>-Self-Sourced: Minimum Base ELI Commitment</t>
    </r>
  </si>
  <si>
    <r>
      <rPr>
        <b/>
        <sz val="11"/>
        <color theme="1"/>
        <rFont val="Calibri"/>
        <family val="2"/>
        <scheme val="minor"/>
      </rPr>
      <t>Non</t>
    </r>
    <r>
      <rPr>
        <sz val="11"/>
        <color theme="1"/>
        <rFont val="Calibri"/>
        <family val="2"/>
        <scheme val="minor"/>
      </rPr>
      <t xml:space="preserve">-AIT, </t>
    </r>
    <r>
      <rPr>
        <b/>
        <sz val="11"/>
        <color theme="1"/>
        <rFont val="Calibri"/>
        <family val="2"/>
        <scheme val="minor"/>
      </rPr>
      <t>Non</t>
    </r>
    <r>
      <rPr>
        <sz val="11"/>
        <color theme="1"/>
        <rFont val="Calibri"/>
        <family val="2"/>
        <scheme val="minor"/>
      </rPr>
      <t>-Self-Sourced: Amount of ELI to be purchased</t>
    </r>
  </si>
  <si>
    <t>Does the proposed Development qualify for the Demographic commitment basis boost?</t>
  </si>
  <si>
    <t>Does the Applicant intend to utilized NHTF Funding for NHTF Units?</t>
  </si>
  <si>
    <t>The proposed Development has the following calculation for the Florida Job Creation score in accordance with the RFA:</t>
  </si>
  <si>
    <t>Answer all HUD basis boost questions above</t>
  </si>
  <si>
    <t>Is the proposed Development a subsequent phase of a multiphase Development and eligible for the HUD basis boost?</t>
  </si>
  <si>
    <t>Is the proposed Development located in a HUD-designated non-metropolitan DDA?</t>
  </si>
  <si>
    <t>Gap Loan: Min. Set-Asides (6.d.(2)(d))</t>
  </si>
  <si>
    <t>Gap Loan: Max. Set-Asides (6.d.(2)(d))</t>
  </si>
  <si>
    <t>Gap Loan: Max. AMI</t>
  </si>
  <si>
    <t>Gap Loan: Name (Bond/4%HC/Gap)</t>
  </si>
  <si>
    <t>Demo Boost Dropdown</t>
  </si>
  <si>
    <t>Pro Forma Max Fees &amp; Contingencies</t>
  </si>
  <si>
    <t>Qualifying RA Level based on Percentage of Total Units Receiving RA</t>
  </si>
  <si>
    <t>Qualifying RA Level based on Total Number of Units receiving RA</t>
  </si>
  <si>
    <t>Best Qualifying RA Level and associated criteria</t>
  </si>
  <si>
    <t>Acquisition Cost of Land and Existing Improvements…..........................................................................</t>
  </si>
  <si>
    <t>Less Land Costs…......................................................................................................................</t>
  </si>
  <si>
    <t>Plus Developer Fee Attributable to Acquisition…...........................................................................</t>
  </si>
  <si>
    <t>Total Eligible Basis….........................................................................................................................</t>
  </si>
  <si>
    <t>DDA/QCT Basis Credit, if applicable….................................................................................................</t>
  </si>
  <si>
    <t>Qualified Basis…................................................................................................................................</t>
  </si>
  <si>
    <t>Housing Credit Percentage (Federal allocation)…................................................................................</t>
  </si>
  <si>
    <t>Annual Housing Credit Allocation….......................................................................................................</t>
  </si>
  <si>
    <t>* Based on the assumption that 100% of the Tax Exempt Proceeds will be used for Building and Land.</t>
  </si>
  <si>
    <r>
      <t>Equals Tax Exempt Proceeds Used for Building and Land</t>
    </r>
    <r>
      <rPr>
        <b/>
        <sz val="10"/>
        <color theme="1"/>
        <rFont val="Arial"/>
        <family val="2"/>
      </rPr>
      <t>*</t>
    </r>
    <r>
      <rPr>
        <sz val="10"/>
        <color theme="1"/>
        <rFont val="Arial"/>
        <family val="2"/>
      </rPr>
      <t>.........................................................................................................</t>
    </r>
  </si>
  <si>
    <t>Total Eligible Basis…...........................................................................................................................</t>
  </si>
  <si>
    <t>Total Development Cost..…...............................................…..............................................................</t>
  </si>
  <si>
    <t>Minimum # of Units - Broward, Duval, Hills, Orange, PBeach</t>
  </si>
  <si>
    <t>Overides 80% min when Family, Elderly Non-ALF, For-Profit</t>
  </si>
  <si>
    <t>Maximum # of Units - Not: Broward, Miami-Dade</t>
  </si>
  <si>
    <t>Minimum # of Units - North Miami-Dade</t>
  </si>
  <si>
    <t>Minimum # of Units - South Miami-Dade</t>
  </si>
  <si>
    <t>Family, Elderly Non-ALF, Persons with a Disability</t>
  </si>
  <si>
    <t>Maximum # of Units - Preservation (204)</t>
  </si>
  <si>
    <t>Maximum # of Units</t>
  </si>
  <si>
    <t>Maximum # of Units - MMRB</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</si>
  <si>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</si>
  <si>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</si>
  <si>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r>
      <t>White-out the input &amp; marker indicators in columns Q:S in Prelim Analyses</t>
    </r>
    <r>
      <rPr>
        <b/>
        <sz val="11"/>
        <color theme="1"/>
        <rFont val="Calibri"/>
        <family val="2"/>
        <scheme val="minor"/>
      </rPr>
      <t>, Pro Forma</t>
    </r>
    <r>
      <rPr>
        <sz val="11"/>
        <color theme="1"/>
        <rFont val="Calibri"/>
        <family val="2"/>
        <scheme val="minor"/>
      </rPr>
      <t xml:space="preserve"> tab:</t>
    </r>
  </si>
  <si>
    <t>Hide and change print area</t>
  </si>
  <si>
    <t>Family, Elderly Non-ALF, For-Profit can be less if at least 75 units in some RFAs</t>
  </si>
  <si>
    <t>These are tested against HCs, Loans and Gap Set-Asides</t>
  </si>
  <si>
    <t>Annual HC Required….......................................................................................................................</t>
  </si>
  <si>
    <t>HC Per GAP Calculation…....................................................................................................................</t>
  </si>
  <si>
    <t>Equity Gap…............…........................................................................................................................</t>
  </si>
  <si>
    <t>Qualified Basis…..............................................................................................................................</t>
  </si>
  <si>
    <t>Annual Housing Credit Allocation….....................................................................................................</t>
  </si>
  <si>
    <t>Section 4.A.10
Development Pro Forma</t>
  </si>
  <si>
    <t>Maximum % Developer Fee on Acquisition Costs</t>
  </si>
  <si>
    <t>Maximum % Developer Fee on non-Acquisition Costs</t>
  </si>
  <si>
    <t>Maximum % Developer Fee in Operating Deficit Reserves</t>
  </si>
  <si>
    <t>Max Total DF:</t>
  </si>
  <si>
    <t>Total MMRB Units</t>
  </si>
  <si>
    <t>Total Housing Credit Set-Aside Breakdown Chart properly completed</t>
  </si>
  <si>
    <t>Program Name of Loan-Only Program</t>
  </si>
  <si>
    <t>Maximum % Hard Cost Contingency New Construction (MaxHCCNC)</t>
  </si>
  <si>
    <t>Maximum % Hard Cost Contingency Rehab (MaxHCCR)</t>
  </si>
  <si>
    <t>Maximum % Soft Cost Contingency (MaxSCC)</t>
  </si>
  <si>
    <t>Maximum % General Contractor Fee</t>
  </si>
  <si>
    <t>Points awarded for Transit Type</t>
  </si>
  <si>
    <t>County Size:</t>
  </si>
  <si>
    <t>Minimum HC Set-Aside: ALF</t>
  </si>
  <si>
    <t>Minimum HC Set-Aside: Workforce (=&lt; 60% AMI)</t>
  </si>
  <si>
    <t>Maximum HC Set-Aside: Workforce (=&lt; 60% AMI)</t>
  </si>
  <si>
    <t>Minimum HC Set-Aside: IRS</t>
  </si>
  <si>
    <t>Minimum HC Set-Aside: IRS Non-Profit Safe Harbor</t>
  </si>
  <si>
    <t>(Automated to be 5% higher than minimum IRS set-aside)</t>
  </si>
  <si>
    <t>(Automated to be 10% higher than minimum IRS set-aside)</t>
  </si>
  <si>
    <t>Points awarded for each Community Service</t>
  </si>
  <si>
    <r>
      <t xml:space="preserve">Minimum FHFC RFA Set-Aside </t>
    </r>
    <r>
      <rPr>
        <i/>
        <sz val="10"/>
        <color theme="1"/>
        <rFont val="Calibri"/>
        <family val="2"/>
        <scheme val="minor"/>
      </rPr>
      <t>(Tables (a) &amp; (b))</t>
    </r>
  </si>
  <si>
    <r>
      <t>RFAs: 201, 202, 203, 204</t>
    </r>
    <r>
      <rPr>
        <i/>
        <sz val="11"/>
        <color theme="1"/>
        <rFont val="Calibri"/>
        <family val="2"/>
        <scheme val="minor"/>
      </rPr>
      <t xml:space="preserve"> [Min FHFC RFA SA: 80%: 201, 202, 203, 204, 205]</t>
    </r>
  </si>
  <si>
    <t>Exhibit A comments for Minimum Set-Asides &amp; ELI Commitments</t>
  </si>
  <si>
    <t>Minimum IRS Set-Aside for Non-Profit Applicants</t>
  </si>
  <si>
    <t>Minimum &amp; Maximum HC Set-Aside for Workforce</t>
  </si>
  <si>
    <t>Minimum HC Set-Aside for Elderly ALF</t>
  </si>
  <si>
    <t>Minimum Overall Set-Aside in RFA</t>
  </si>
  <si>
    <t>Minimum ELI Set-Aside</t>
  </si>
  <si>
    <t>2022 ELI Funding Per Unit</t>
  </si>
  <si>
    <t>2022 Min. NHTF Funding PU</t>
  </si>
  <si>
    <r>
      <rPr>
        <b/>
        <sz val="11"/>
        <rFont val="Calibri"/>
        <family val="2"/>
        <scheme val="minor"/>
      </rPr>
      <t>2022</t>
    </r>
    <r>
      <rPr>
        <b/>
        <u/>
        <sz val="11"/>
        <rFont val="Calibri"/>
        <family val="2"/>
        <scheme val="minor"/>
      </rPr>
      <t xml:space="preserve">
ELI %</t>
    </r>
  </si>
  <si>
    <t>Max NHTF PU</t>
  </si>
  <si>
    <t>4.A.6.d.(2)(b)(i)</t>
  </si>
  <si>
    <t>PHA or RD Proximity Boost points achieved?</t>
  </si>
  <si>
    <t>Can be ELI as well; If ELI, it gets ELI funding</t>
  </si>
  <si>
    <t>Cannot be ELI as well; Separate ELI gets ELI funding</t>
  </si>
  <si>
    <t>RFAs 102, 103: 3% of SAIL;  RFA 106: 3% of SAIL or Grant; RFA 105: 10% of Base Award</t>
  </si>
  <si>
    <t>4.A.6.d.(2)(b)(ii)</t>
  </si>
  <si>
    <t>4.A.6.d.(2)(b)(iii)</t>
  </si>
  <si>
    <t># of Developments to meet minimum Program Requirement</t>
  </si>
  <si>
    <t># of Developments to meet Initial Date Requirement</t>
  </si>
  <si>
    <t>Developer Experience Requirement met</t>
  </si>
  <si>
    <t>Identify Other:</t>
  </si>
  <si>
    <r>
      <t xml:space="preserve">Pro Forma Sources: MMRB + Non-Corp Programs </t>
    </r>
    <r>
      <rPr>
        <b/>
        <sz val="9"/>
        <color rgb="FFFF0000"/>
        <rFont val="Calibri"/>
        <family val="2"/>
        <scheme val="minor"/>
      </rPr>
      <t>(ProAppSources)</t>
    </r>
  </si>
  <si>
    <t>**Please ensure FHFC - MMRB requests are in 1st position on the Construction Analysis Pro Forma, and that the request amount matches the above line item.</t>
  </si>
  <si>
    <t>Hide this nongrant section!!!</t>
  </si>
  <si>
    <t>Total Units have been entered</t>
  </si>
  <si>
    <t>4.A.3.e.</t>
  </si>
  <si>
    <t>Authorized Principal Representative contact information</t>
  </si>
  <si>
    <t>Contact Names</t>
  </si>
  <si>
    <t>Operational Contact Person Information</t>
  </si>
  <si>
    <t>Section 4.A.3.e.</t>
  </si>
  <si>
    <t>Summary Review of Notations in Exhibit A</t>
  </si>
  <si>
    <t>Section 4.A.2.</t>
  </si>
  <si>
    <t>Developer Experience Requirement Met</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</si>
  <si>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</si>
  <si>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</si>
  <si>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</si>
  <si>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Name of Each Developer (including all co-Developers) provided</t>
  </si>
  <si>
    <t>Eligibility Requirements</t>
  </si>
  <si>
    <t>Total Proximity Points calculated based on information entered above:</t>
  </si>
  <si>
    <t>Transit Service Points calculated based on the information entered above:</t>
  </si>
  <si>
    <t>Community Service Points calculated based on the information entered above:</t>
  </si>
  <si>
    <t>Does the information provided at question 11 indicate that the Local Government Area of Opportunity Designation?</t>
  </si>
  <si>
    <t>The Applicant has entered a Housing Credit Request Amount on the Funding Tab. Please state the amount of HC Equity Proceeds Paid Prior to Completion of Construction.</t>
  </si>
  <si>
    <t>The Applicant has entered a Housing Credit Request Amount on the Funding Tab. Please state the amount of HC Syndication/HC Equity Proceeds.</t>
  </si>
  <si>
    <r>
      <t>White-out the Operating Defecit Reserves Ineligible and Total Fields, Item E. in Costs</t>
    </r>
    <r>
      <rPr>
        <b/>
        <sz val="11"/>
        <color theme="1"/>
        <rFont val="Calibri"/>
        <family val="2"/>
        <scheme val="minor"/>
      </rPr>
      <t>, Pro Forma</t>
    </r>
    <r>
      <rPr>
        <sz val="11"/>
        <color theme="1"/>
        <rFont val="Calibri"/>
        <family val="2"/>
        <scheme val="minor"/>
      </rPr>
      <t xml:space="preserve"> tab:</t>
    </r>
  </si>
  <si>
    <t>6.d.2.(a)</t>
  </si>
  <si>
    <t>6.d.2.(a) or (b)</t>
  </si>
  <si>
    <t>Tables (a) &amp; (b) for Housing Credits</t>
  </si>
  <si>
    <t>Table (a) Loan-Only RFAs (No Housing Credits)</t>
  </si>
  <si>
    <t>This program will be used for eligibility requirements, if necessary</t>
  </si>
  <si>
    <r>
      <t xml:space="preserve">Minimum total number of units %, </t>
    </r>
    <r>
      <rPr>
        <b/>
        <sz val="11"/>
        <color theme="1"/>
        <rFont val="Calibri"/>
        <family val="2"/>
        <scheme val="minor"/>
      </rPr>
      <t>or</t>
    </r>
  </si>
  <si>
    <t>Dev. Fin.</t>
  </si>
  <si>
    <t>4.A.4.e.</t>
  </si>
  <si>
    <t>Unit Type Tracking</t>
  </si>
  <si>
    <t>Kevin to find where needed</t>
  </si>
  <si>
    <t>All named ranges updated with a DS_ prefix</t>
  </si>
  <si>
    <t>Completed/
Acknowledged (X)</t>
  </si>
  <si>
    <t>Need a line item on General Information tab to account for the Veterans Preference for Elderly (ALF or Non-ALF) developments in Medium and Large Counties. Veteran Preference is part of the Goals.</t>
  </si>
  <si>
    <t>HOME-ARP</t>
  </si>
  <si>
    <t>Deferred Development Costs</t>
  </si>
  <si>
    <t>HOME-ARP 22%</t>
  </si>
  <si>
    <t>HOME-ARP Max</t>
  </si>
  <si>
    <t>HOME-ARP 30%</t>
  </si>
  <si>
    <t>Min - 22%</t>
  </si>
  <si>
    <t>Min - 30%</t>
  </si>
  <si>
    <t>PFNCHRE</t>
  </si>
  <si>
    <t>PFNCMRE</t>
  </si>
  <si>
    <t>PFNCMRW</t>
  </si>
  <si>
    <t>PFRCGA</t>
  </si>
  <si>
    <t>PFNCGAE</t>
  </si>
  <si>
    <t>PFNCGAW</t>
  </si>
  <si>
    <t>PFRCNGA</t>
  </si>
  <si>
    <t>SFNCGAE</t>
  </si>
  <si>
    <t>SFNCGAW</t>
  </si>
  <si>
    <t>SFNCHRE</t>
  </si>
  <si>
    <t>SFNCMRE</t>
  </si>
  <si>
    <t>SFNCMRW</t>
  </si>
  <si>
    <t>SFRCGA</t>
  </si>
  <si>
    <t>SFRCNGA</t>
  </si>
  <si>
    <t>Self-sourced applicants MUST select the family demographic. Need to make a pop-up showing an error if Self-sourced and a Demographic other than family is selected for this RFA on the General Information Tab.</t>
  </si>
  <si>
    <t>Self-sourced applicants MUST commit to New Construction Development Category. Need to make a pop-up showing an error if Self-sourced and a Dev Category other than NC is selected for this RFA on the Proposed DevelopmentTab.</t>
  </si>
  <si>
    <t>If NC or Redev and NHTF is selected on the Funding Tab all units must be NC without any Rehab. Need to make a pop-up on the Proposed Dev Info Tab showing an error if NHTF is selected and a Dev Type other than NC is choosen.</t>
  </si>
  <si>
    <t>If Redev (w/ or w/out Acq) is selected need to provide as Attachment 6 to Exhibit A, a Development Category Qualification Letter from HUD or RD, dated within 12 months of the Application Deadline. Need to add this to the Proposed Dev Info Tab</t>
  </si>
  <si>
    <t>a. “If the Elderly demographic commitment is selected, the Applicant understands, acknowledges and agrees that it will comply with the Federal Fair Housing Act requirements for housing for older persons and rent at least 80 percent of the total units to residents that qualify as older persons pursuant to that Act or as provided under any state or federal program that the Secretary of HUD determines is specifically designed and operated to assist elderly persons (as defined in the state or federal program). Further, the Applicant understands, acknowledges and agrees that all such units are subject to the income restrictions committed to in the Set-Aside Commitment section of this Application.”</t>
  </si>
  <si>
    <t>If Elderly ALF is selected under Section 4.A.2. on the General Information Tab I would suggest there be a pop-up requiring the applicant to certify the follow as per RFA (see p.7 A.2.b. of RFA 2021-202 for reference if needed):</t>
  </si>
  <si>
    <t>On the General Information tab section 4.A.3.b. – is there a need for more than 3 lines for developers/co-developers?</t>
  </si>
  <si>
    <t>*A HUD financed Development is a Development that has received construction and/or permanent loan financing from HUD. All Developments without construction and/or permanent loan financing from HUD, which may include those with HUD subsidy funding such as PBRA, are considered non-HUD financed Developments.</t>
  </si>
  <si>
    <t>** An RD financed Development means a Development that has received construction and/or permanent loan financing from Rural Development (RD) within the United States Department of Agriculture (USDA). All Developments without construction and/or permanent loan financing from RD, which may include those with RD subsidy funding such as PBRA, are considered non-RD financed Developments.</t>
  </si>
  <si>
    <r>
      <rPr>
        <sz val="11"/>
        <color theme="1"/>
        <rFont val="Calibri"/>
        <family val="2"/>
        <scheme val="minor"/>
      </rPr>
      <t>i.</t>
    </r>
    <r>
      <rPr>
        <sz val="7"/>
        <color theme="1"/>
        <rFont val="Times New Roman"/>
        <family val="1"/>
      </rPr>
      <t xml:space="preserve">      </t>
    </r>
    <r>
      <rPr>
        <sz val="11"/>
        <color theme="1"/>
        <rFont val="Calibri"/>
        <family val="2"/>
        <scheme val="minor"/>
      </rPr>
      <t>More than one exchange of credits, as outlined in the Qualified Allocation Plan, for the same non-HUD financed Development* or any non-RD financed Development** awarded since the Application Deadline of this RFA;</t>
    </r>
  </si>
  <si>
    <t>On the General Information tab section 4.A.3.b.3 is missing a 4.A.3.b.3.c. Per the RFA 2021-202 (6 Large) (p.11) there is a subsection (c) entitled “Prior Development Experience a Point Item in Future RFAs” and reads per the below. Do we want to include acknowledgement of this or some kind of mention of it in the application, or no since they technically don’t have to provide anything?:</t>
  </si>
  <si>
    <r>
      <rPr>
        <sz val="11"/>
        <color theme="1"/>
        <rFont val="Calibri"/>
        <family val="2"/>
        <scheme val="minor"/>
      </rPr>
      <t>ii.</t>
    </r>
    <r>
      <rPr>
        <sz val="7"/>
        <color theme="1"/>
        <rFont val="Times New Roman"/>
        <family val="1"/>
      </rPr>
      <t xml:space="preserve">      </t>
    </r>
    <r>
      <rPr>
        <sz val="11"/>
        <color theme="1"/>
        <rFont val="Calibri"/>
        <family val="2"/>
        <scheme val="minor"/>
      </rPr>
      <t>At least one exchange of credits requiring Board approval, as outlined in the Qualified Allocation Plan, for two or more non[1]HUD financed Developments* or any non-RD financed Development** funded in RFAs 2020-201, 2020-202, 2020-203, 2020-204, 2020-208, or 2020-211; or</t>
    </r>
  </si>
  <si>
    <r>
      <rPr>
        <sz val="11"/>
        <color theme="1"/>
        <rFont val="Calibri"/>
        <family val="2"/>
        <scheme val="minor"/>
      </rPr>
      <t>iii.</t>
    </r>
    <r>
      <rPr>
        <sz val="7"/>
        <color theme="1"/>
        <rFont val="Times New Roman"/>
        <family val="1"/>
      </rPr>
      <t xml:space="preserve">      </t>
    </r>
    <r>
      <rPr>
        <sz val="11"/>
        <color theme="1"/>
        <rFont val="Calibri"/>
        <family val="2"/>
        <scheme val="minor"/>
      </rPr>
      <t>A waiver to Rule 67-48, F.A.C., extending the firm commitment deadline of a non-HUD financed Development* or any non-RD financed Development** awarded since the Application Deadline of this RFA.</t>
    </r>
  </si>
  <si>
    <t xml:space="preserve">On the General Information tab section 4.A.3.c. – subsection (4) is missing (well it would be subsection (3) on applications that don’t have Priority designations) which is “Material and non-material changes to the Applicant entity or Developer entity.” This is not presented in the application. It does not appear to require the applicant to provide anything so maybe does not need to be included? </t>
  </si>
  <si>
    <t>On the Proposed Development Information tab 4.A.4.b.1 – RFA 2021-202 (6 Large) (p.15) there is a paragraph stating the below. Should this be included as a pop-up for developments that select that they consists of Acquisition and Rehabilitation?</t>
  </si>
  <si>
    <t>a. If the proposed Development consists of acquisition and Rehabilitation, with or without new construction (where the applicable new construction is for the building of units which will total less than 50 percent of the proposed Development’s total unit count), and the Applicant is not requesting Corporation funding related to the acquisition, the Applicant should select Rehabilitation as the Development Category. However, the acquisition costs and sources must still be reflected on the Development Cost Pro Forma.</t>
  </si>
  <si>
    <t xml:space="preserve">On the Proposed Development Information tab 4.A.4.b.2 – RFA 2021-202 (6 Large) (p.17) has a subsection c.iii. for Redevelopment requires an attached with a HUD letter that includes specified information. Do we want to have a pop-up that comes up if Redevelopment is selected indicating this attachment is required to be provided as per the RFA? </t>
  </si>
  <si>
    <t xml:space="preserve">On the Proposed Development Information tab 4.A.4.c – the dropdown does not include Duplexes as an option. This was listed as an option in RFA 2021-202 (6 Large) (p.20). Should it be added? </t>
  </si>
  <si>
    <t>On the Proximity Tab for 4.A.5.e.2.b should there also be an option for Private Transportation (2 points) (for Elderly (ALF or Non-ALF) only)? This is an option on RFA 2021-202 (6 Large) p.25. Also Rail Station is called Public Rail Station in the RFA, not sure if the wording should match or not.</t>
  </si>
  <si>
    <t>On the Proximity Tab for 4.A.5.f (Mandatory Distance Requirement), I think there needs to be an additional question asking addressing this verbiage on p.28 of RFA 2021-202 (6 Large)….so asking if they qualify based on the latitude and longitude coordinates.</t>
  </si>
  <si>
    <t>a.	“Applications not eligible for the automatic qualification for the Mandatory Distance Requirement will qualify for the Mandatory Distance Requirement if the distance between the latitude and longitude coordinates provided for the Development Location Point, and any Scattered Sites, if applicable, to the coordinates for the other properties identified on the June 21, 2021 FHFC Development Proximity List (the List) that serve the same demographic group is at least 0.5 miles. The June 21, 2021 FHFC Development Proximity List and mapping software to display both the Proximity List properties on the list and the Mandatory Distance Requirement buffers described in the chart above are available on the RFA Webpage.”</t>
  </si>
  <si>
    <t xml:space="preserve">a. The Corporation will award points for Development Experience in certain RFAs beginning with the 2022/2023 RFA Cycle. Notice is given that any Principal of an Applicant and/or Developer(s) of any non-HUD financed Development* or any non-RD financed Development** funded in this RFA that also receives Board approval for any of (i) - (iii) below will be deemed ineligible for Development Experience points for exactly 2 years, commencing on the date of the Board’s approval: </t>
  </si>
  <si>
    <t>On the Construction Features Tab I think there needs to be a letter e added that states “Items to be included in the rehabilitation scope of work, as outlined in Exhibit F” – see p.45 of RFA 2021-202 (6 Large) for further clarity.</t>
  </si>
  <si>
    <t>RFA 2021-202: 6 Large:</t>
  </si>
  <si>
    <t>PHA Proximity Boost letter is references as Attachment 7 in this RFA, however the Proximity Tab states it is Attachment 5. It appears it varies per RFA.</t>
  </si>
  <si>
    <t>Rental Assistance letter is referenced as Attachment 6 in this RFA, however the Proposed Dev Tab states it is Attachment 4. It appears it varies per RFA.</t>
  </si>
  <si>
    <t>Please review Table (2) on page 33 of the RFA (for appps not automatically qualified for Man Dis Req). I do not think this is taken into consideration on the Mand. Dist. Tab - please confirm and add if needed.</t>
  </si>
  <si>
    <t>The RFA reflects Occupancy Status requirements on p.35. (1) If the Development Category is Rehabilitation, with or without Acquisition, indicate whether there are any existing units on the Development site as of Application Deadline, and if so, the occupancy status of such units. (2) If the Development Category is Preservation, with or without Acquisition, the existing affordable development must be at least 75 percent occupied as of the Application Deadline. There does not appear to be a check/formula to verify this on the Units Tab</t>
  </si>
  <si>
    <t>Developer Info is Attachment 4 and Manangement Company info is Attachment 5 for this RFA which varies from template</t>
  </si>
  <si>
    <t>Evidence of Legally Formed entity is Attachment 2 and Non-Profit is attachment 3 for this RFA which varies from template</t>
  </si>
  <si>
    <t>NHFT Request Amount</t>
  </si>
  <si>
    <t>RFA references site control document as Attachment 8, and zoning, water and sewer as 9,10, and 11 respectively, which varies from the template.</t>
  </si>
  <si>
    <t>Maximum NHTF Request Amount Per Development:</t>
  </si>
  <si>
    <t>NHTF 22%</t>
  </si>
  <si>
    <t>NHTF 30%</t>
  </si>
  <si>
    <t>NHTF Max</t>
  </si>
  <si>
    <t>Number of NHTF Set-Aside Units:</t>
  </si>
  <si>
    <t>Maximum % of Units to commit</t>
  </si>
  <si>
    <t>Maximum # of Units to commit</t>
  </si>
  <si>
    <t>Applicable:</t>
  </si>
  <si>
    <t>HOME-ARP Request Amount:</t>
  </si>
  <si>
    <t>Maximum HOME-ARP Request Amount Per Development:</t>
  </si>
  <si>
    <t>Number of HOME-ARP Set-Aside Units:</t>
  </si>
  <si>
    <t>Maximum HOME-ARP Request Amount Per Unit Basis:</t>
  </si>
  <si>
    <t>Maximum HOME-ARP Per Unit Request Amount:</t>
  </si>
  <si>
    <t>Maximum NHTF Request Amount Per Unit Basis:</t>
  </si>
  <si>
    <t>Maximum NHTF Per Unit Request Amount:</t>
  </si>
  <si>
    <t>TDC Max</t>
  </si>
  <si>
    <t>Number of TBD Set-Aside Units:</t>
  </si>
  <si>
    <t>Maximum TBD Request Amount Per Unit Basis:</t>
  </si>
  <si>
    <t>Is Davis-Bacon Applicable?</t>
  </si>
  <si>
    <t>The applicable Eligible HOME-ARP Request Amount</t>
  </si>
  <si>
    <t>4.A.5.e.(b)</t>
  </si>
  <si>
    <t>Proximity Items</t>
  </si>
  <si>
    <t># of Public Bus Stops</t>
  </si>
  <si>
    <t>Greatest Distance of Public Bus Stops</t>
  </si>
  <si>
    <t>km</t>
  </si>
  <si>
    <t>mi</t>
  </si>
  <si>
    <t>RFA references Local Government Contribution form as Attachment 16 and application differs.</t>
  </si>
  <si>
    <t>RFA 2021-205/2022-205: SAIL w/ MMRB and 4% HC:</t>
  </si>
  <si>
    <t>Public Rail Station</t>
  </si>
  <si>
    <t>a:</t>
  </si>
  <si>
    <t>b:</t>
  </si>
  <si>
    <t>COS:</t>
  </si>
  <si>
    <t>SIN:</t>
  </si>
  <si>
    <t>Local Lat (t):</t>
  </si>
  <si>
    <t>R at Poles</t>
  </si>
  <si>
    <t>R at Equater</t>
  </si>
  <si>
    <t>R at Local Lat</t>
  </si>
  <si>
    <t>Per Jean's draft for 2022-205 (v. 7/19/22) small and medium county applications are not required to achieve a min number of transit service points, however all large counties must meet a minimum. Do we want to add this language in the template?</t>
  </si>
  <si>
    <t>RFA 2021-201:</t>
  </si>
  <si>
    <t>Page 11 of the RFA mentions a Prior Development Experience Point Item in Future RFA', which starts with the 2022/2023 RFA cycle. This should be built into the template on the General Information Tab below the Developer Experience Withdrawal Disincentive.</t>
  </si>
  <si>
    <t>The attachment numbers throughout the RFA do not match the application</t>
  </si>
  <si>
    <t>For Transit Services  - the RFA states a maximum of 6 points can be received. Do we want something to popup stating the max requirement has been met/exceeded?</t>
  </si>
  <si>
    <t>The RFA has a SunRail Goal - do we want to add a question asking if they qualify for the SunRail goal?</t>
  </si>
  <si>
    <t>The RFA has a Local Revitalization Goal - do we want to add a question asking if they qualify for the goal? (This requires providing an Attachment 7)</t>
  </si>
  <si>
    <t>Applications that qualify for the Local Government Areas of Opportunity Designation, SunRail Goal or for the Local Revitalization Initiative Goal will automatically meet the RECAP, Mandatory Distance and Proximity eligibility requirements outlined in this RFA. So need to ensure the application takes this into consideration.</t>
  </si>
  <si>
    <t>RFA 2022-109 SAIL/HOME-ARP/NHTF for PSN (Draft 7.22.22):</t>
  </si>
  <si>
    <t>Applicant must answer a question stating it meets the Community-Based Board of Directors Requirement - need to add this to application</t>
  </si>
  <si>
    <t>Homeless Assistance Continuum of Care Requirements - should add a section in the application noting that required info to include Attachment 2 is required to meet this requirement</t>
  </si>
  <si>
    <t>For the Goal - need to insert a yes/no question for determining if they meet the "Applications that qualify for this goal must submit Exhibit A of the Application submitted in RFA 2022-102 as Attachment 6 to this RFA"</t>
  </si>
  <si>
    <t>On the proposed development info tab there should be a Confirmation that the proposed Development meets the HUD environmental requirements for the NHTF Program</t>
  </si>
  <si>
    <t>NHTF Units must be proportionately distributed across each Unit Mix - need to ensure this is accounted for in unit mix chart</t>
  </si>
  <si>
    <t xml:space="preserve">Qualifying Financial Assistance Funding Preference on Funding Tab needs to be updated to reflect (1) on p.42 of the draft RFA - "Cash Funding equals at least 3 percent of the Applicant’s Eligible HOME-ARP Request Amount" </t>
  </si>
  <si>
    <t>Need to create a tab after the Funding tab for 11 - HOME Uniform Relocation Act with pertinent questions from p.43/44 RFA and statements noting attachments required.</t>
  </si>
  <si>
    <t>Other Multiplier 1</t>
  </si>
  <si>
    <t>Other Multiplier 2</t>
  </si>
  <si>
    <t>ESS Construction Funding Preference</t>
  </si>
  <si>
    <t>Minimum Transit Score met (if applicable) ??Community Services??</t>
  </si>
  <si>
    <t>Minimum Total Proximity Score met (excludes: LGAO, SunRail Goal, Local Revitalizatin Initiative Goal)</t>
  </si>
  <si>
    <t>PHA Proximity Point Boost</t>
  </si>
  <si>
    <t>RD 515 Proximity Point Boost</t>
  </si>
  <si>
    <t>Minimum Total Proximity Points for Eligibility:</t>
  </si>
  <si>
    <t>Large County</t>
  </si>
  <si>
    <t>Maximum Points:</t>
  </si>
  <si>
    <t>Total Transit Services</t>
  </si>
  <si>
    <t xml:space="preserve">     Private Transportation</t>
  </si>
  <si>
    <t xml:space="preserve">     Public Bus Stop</t>
  </si>
  <si>
    <t xml:space="preserve">     Public Bus Transfer Stop</t>
  </si>
  <si>
    <t xml:space="preserve">     Public Bus Rapid Transit Stop</t>
  </si>
  <si>
    <t xml:space="preserve">     Public Rail Station</t>
  </si>
  <si>
    <t xml:space="preserve">     Each Community Service</t>
  </si>
  <si>
    <t xml:space="preserve">     Maximum # of Community Services</t>
  </si>
  <si>
    <t>Mandatory Distance Requirement:</t>
  </si>
  <si>
    <t>Qualifications for the SunRail Goal</t>
  </si>
  <si>
    <t>Does the Application qualify for the SunRail Goal as outlined in the RFA?</t>
  </si>
  <si>
    <t>If "Yes", state the name of the SunRail Station that is within 0.5 miles of the Development Location Point.</t>
  </si>
  <si>
    <t>Developed the bulk of the Unit Characteristics Table, including Nmaed Ranges and Leveraging variables.</t>
  </si>
  <si>
    <t>Developed TDC Add-on/Multiplier Table, including named ranges.</t>
  </si>
  <si>
    <r>
      <rPr>
        <sz val="11"/>
        <color theme="0"/>
        <rFont val="Wingdings"/>
        <charset val="2"/>
      </rPr>
      <t>ß</t>
    </r>
    <r>
      <rPr>
        <sz val="11"/>
        <color theme="0"/>
        <rFont val="Calibri"/>
        <family val="2"/>
      </rPr>
      <t xml:space="preserve"> </t>
    </r>
    <r>
      <rPr>
        <sz val="11"/>
        <color theme="0"/>
        <rFont val="Calibri"/>
        <family val="2"/>
        <scheme val="minor"/>
      </rPr>
      <t>Max. Request Amount</t>
    </r>
  </si>
  <si>
    <r>
      <rPr>
        <sz val="11"/>
        <color theme="1"/>
        <rFont val="Wingdings"/>
        <charset val="2"/>
      </rPr>
      <t>ß</t>
    </r>
    <r>
      <rPr>
        <sz val="11"/>
        <color theme="1"/>
        <rFont val="Calibri"/>
        <family val="2"/>
        <scheme val="minor"/>
      </rPr>
      <t xml:space="preserve"> Max. Request Amount</t>
    </r>
  </si>
  <si>
    <r>
      <rPr>
        <sz val="11"/>
        <color theme="0"/>
        <rFont val="Wingdings"/>
        <charset val="2"/>
      </rPr>
      <t>ß</t>
    </r>
    <r>
      <rPr>
        <sz val="11"/>
        <color theme="0"/>
        <rFont val="Calibri"/>
        <family val="2"/>
        <scheme val="minor"/>
      </rPr>
      <t xml:space="preserve"> Max. Request Amount</t>
    </r>
  </si>
  <si>
    <r>
      <rPr>
        <sz val="11"/>
        <color theme="0"/>
        <rFont val="Wingdings"/>
        <charset val="2"/>
      </rPr>
      <t>ß</t>
    </r>
    <r>
      <rPr>
        <sz val="11"/>
        <color theme="0"/>
        <rFont val="Calibri"/>
        <family val="2"/>
        <charset val="2"/>
        <scheme val="minor"/>
      </rPr>
      <t xml:space="preserve"> Max. Request Amount</t>
    </r>
  </si>
  <si>
    <r>
      <rPr>
        <sz val="11"/>
        <color theme="1"/>
        <rFont val="Wingdings"/>
        <charset val="2"/>
      </rPr>
      <t>ß</t>
    </r>
    <r>
      <rPr>
        <sz val="11"/>
        <color theme="1"/>
        <rFont val="Calibri"/>
        <family val="2"/>
        <charset val="2"/>
        <scheme val="minor"/>
      </rPr>
      <t xml:space="preserve"> Max. Request Amount</t>
    </r>
  </si>
  <si>
    <t>The applicable Eligible Workforce Request Amount</t>
  </si>
  <si>
    <t>The applicable Eligible HOME Request Amount</t>
  </si>
  <si>
    <t>The applicable Eligible NHTF Request Amount</t>
  </si>
  <si>
    <t>Max Rqst Amts</t>
  </si>
  <si>
    <t>Adjusted Request Amounts</t>
  </si>
  <si>
    <t>FHFC Sources</t>
  </si>
  <si>
    <t>Original Request Amounts</t>
  </si>
  <si>
    <t>Fin TB</t>
  </si>
  <si>
    <t>Qualifies for the Florida Job Creation Preference</t>
  </si>
  <si>
    <t>Eligible SAIL Request Amount per Set-Aside Unit</t>
  </si>
  <si>
    <t>SAIL Request as a Percentage of TDC as 90% or Less Funding Preference</t>
  </si>
  <si>
    <t>Application's Leveraging Classification (Total Corporation funding PSAU)</t>
  </si>
  <si>
    <t>Eligible HOME Request as % of Maximum</t>
  </si>
  <si>
    <t>Eligible Match as % of HOME request amount</t>
  </si>
  <si>
    <t>Leveraging Level</t>
  </si>
  <si>
    <t>Scoring Tie-Breakers</t>
  </si>
  <si>
    <t>Is Workforce funding a factor?</t>
  </si>
  <si>
    <t>Is HOME-ARP funding a factor?</t>
  </si>
  <si>
    <t>The "Base" Award process has not been programmed into the Grant Request amount section. See note in cell F411.</t>
  </si>
  <si>
    <t>AIT ELI Units</t>
  </si>
  <si>
    <t>Must Applicant commit to Max Purchased ELI Units?</t>
  </si>
  <si>
    <t>Req Min Units</t>
  </si>
  <si>
    <t>Table (d) (with MMRB), or (c) (when no MMRB)</t>
  </si>
  <si>
    <r>
      <t xml:space="preserve">Gap Loan:          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</si>
  <si>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r>
      <t xml:space="preserve">Gap Loan: </t>
    </r>
    <r>
      <rPr>
        <b/>
        <sz val="11"/>
        <color rgb="FF7030A0"/>
        <rFont val="Calibri"/>
        <family val="2"/>
        <scheme val="minor"/>
      </rPr>
      <t>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</si>
  <si>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r>
      <t>Gap Loan:</t>
    </r>
    <r>
      <rPr>
        <b/>
        <sz val="11"/>
        <color rgb="FF7030A0"/>
        <rFont val="Calibri"/>
        <family val="2"/>
        <scheme val="minor"/>
      </rPr>
      <t xml:space="preserve"> 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xml:space="preserve">: Min. </t>
    </r>
    <r>
      <rPr>
        <b/>
        <u/>
        <sz val="11"/>
        <color rgb="FF7030A0"/>
        <rFont val="Calibri"/>
        <family val="2"/>
        <scheme val="minor"/>
      </rPr>
      <t>% Units</t>
    </r>
    <r>
      <rPr>
        <sz val="11"/>
        <color rgb="FF7030A0"/>
        <rFont val="Calibri"/>
        <family val="2"/>
        <scheme val="minor"/>
      </rPr>
      <t xml:space="preserve"> @ Lower AMI Commitment</t>
    </r>
  </si>
  <si>
    <r>
      <t xml:space="preserve">Gap Loan:          AIT, </t>
    </r>
    <r>
      <rPr>
        <u/>
        <sz val="11"/>
        <color rgb="FF7030A0"/>
        <rFont val="Calibri"/>
        <family val="2"/>
        <scheme val="minor"/>
      </rPr>
      <t>Self-Sourced</t>
    </r>
    <r>
      <rPr>
        <sz val="11"/>
        <color rgb="FF7030A0"/>
        <rFont val="Calibri"/>
        <family val="2"/>
        <scheme val="minor"/>
      </rPr>
      <t xml:space="preserve">: Min. </t>
    </r>
    <r>
      <rPr>
        <b/>
        <u/>
        <sz val="11"/>
        <color rgb="FF7030A0"/>
        <rFont val="Calibri"/>
        <family val="2"/>
        <scheme val="minor"/>
      </rPr>
      <t>% Units</t>
    </r>
    <r>
      <rPr>
        <sz val="11"/>
        <color rgb="FF7030A0"/>
        <rFont val="Calibri"/>
        <family val="2"/>
        <scheme val="minor"/>
      </rPr>
      <t xml:space="preserve"> @ Lower AMI Commitment</t>
    </r>
  </si>
  <si>
    <t>SAIL/HOME-ARP</t>
  </si>
  <si>
    <t>Bus Stops</t>
  </si>
  <si>
    <t>1 Stop</t>
  </si>
  <si>
    <t>2 Stops</t>
  </si>
  <si>
    <t>3 Stops</t>
  </si>
  <si>
    <t>Rail Station, Bus Transfer, Rapid Transit</t>
  </si>
  <si>
    <t>Medium County*</t>
  </si>
  <si>
    <t>Small County**</t>
  </si>
  <si>
    <t>*LGAO, SunRail or Revite Goal-Auto Qualifies for Eligibility</t>
  </si>
  <si>
    <t>**Revite Goal-Auto Qualifies for Eligibility</t>
  </si>
  <si>
    <t>Grocery Store, Medical Facility, Pharmacy</t>
  </si>
  <si>
    <t>Total Community Services (Grocery, Medical, Pharmacy, School)</t>
  </si>
  <si>
    <t>1,1,1,1</t>
  </si>
  <si>
    <t>1,1,1,4</t>
  </si>
  <si>
    <t>1,2,2,2</t>
  </si>
  <si>
    <t>1,2,2,4</t>
  </si>
  <si>
    <t>1,2,3,4</t>
  </si>
  <si>
    <t>1,2,3,3</t>
  </si>
  <si>
    <t>1,1,3,3</t>
  </si>
  <si>
    <t>Transportation/Community Service</t>
  </si>
  <si>
    <t>1,1,3,4</t>
  </si>
  <si>
    <t>1,1,2,4</t>
  </si>
  <si>
    <t>1,1,4,4</t>
  </si>
  <si>
    <t>1,2,4,4</t>
  </si>
  <si>
    <t>1,4,4,4</t>
  </si>
  <si>
    <t>Total Proximity Points</t>
  </si>
  <si>
    <t>Minimum Total Proximity Points for Funding Preference:</t>
  </si>
  <si>
    <t>Medium County</t>
  </si>
  <si>
    <t>Small County</t>
  </si>
  <si>
    <t>Poss. Ranking #s</t>
  </si>
  <si>
    <t>Minimum Transit Service Points:</t>
  </si>
  <si>
    <t>Large County-when eligible for PHA or RD Boost</t>
  </si>
  <si>
    <t>Large County-when NOT eligible for PHA or RD Boost</t>
  </si>
  <si>
    <t>Flows w/ County Size</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</si>
  <si>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</si>
  <si>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Response</t>
  </si>
  <si>
    <t>Calculated</t>
  </si>
  <si>
    <t>Points</t>
  </si>
  <si>
    <t>Flow?</t>
  </si>
  <si>
    <t>These two rows flow into the intro paragraph of chart at 4.A.6.d.(2)(a)</t>
  </si>
  <si>
    <t>File #</t>
  </si>
  <si>
    <t>Development</t>
  </si>
  <si>
    <t>Latitude Coordinates (Decimal Degrees)</t>
  </si>
  <si>
    <t>Longitude Coordinates (Decimal Degrees)</t>
  </si>
  <si>
    <t>Demo</t>
  </si>
  <si>
    <t>30 units or less?</t>
  </si>
  <si>
    <t>Demographic</t>
  </si>
  <si>
    <t>Latitude, Longitude Coordinates</t>
  </si>
  <si>
    <t>Less than 31 units?</t>
  </si>
  <si>
    <t>2020-304C</t>
  </si>
  <si>
    <t>Arbours at Merrillwood I</t>
  </si>
  <si>
    <t>E</t>
  </si>
  <si>
    <t>2022-068C</t>
  </si>
  <si>
    <t>Dogwood Village</t>
  </si>
  <si>
    <t>F</t>
  </si>
  <si>
    <t>2020-411BS</t>
  </si>
  <si>
    <t>Royal Park Apartments</t>
  </si>
  <si>
    <t>2022-244H</t>
  </si>
  <si>
    <t>Sandcastle Manor</t>
  </si>
  <si>
    <t>2021-127C</t>
  </si>
  <si>
    <t>Fletcher Black II</t>
  </si>
  <si>
    <t>2021-099C</t>
  </si>
  <si>
    <t>Southview Estates</t>
  </si>
  <si>
    <t>2021-284H</t>
  </si>
  <si>
    <t>Sandcastle Pines</t>
  </si>
  <si>
    <t>2020-335C</t>
  </si>
  <si>
    <t>Weldon Crossings</t>
  </si>
  <si>
    <t>W</t>
  </si>
  <si>
    <t>2022-070C</t>
  </si>
  <si>
    <t>The Verandas of Punta Gorda III</t>
  </si>
  <si>
    <t>2020-239C</t>
  </si>
  <si>
    <t>Bryce Landing</t>
  </si>
  <si>
    <t>2021-059C</t>
  </si>
  <si>
    <t>Molly Crossing</t>
  </si>
  <si>
    <t>2021-258S</t>
  </si>
  <si>
    <t>Nathan Ridge</t>
  </si>
  <si>
    <t>2020-385BSN</t>
  </si>
  <si>
    <t>Allegro at Hacienda Lakes, f/k/a Villa Verde</t>
  </si>
  <si>
    <t>2021-246BS</t>
  </si>
  <si>
    <t>Cadenza at Hacienda Lakes</t>
  </si>
  <si>
    <t>2022-046C</t>
  </si>
  <si>
    <t>Arcadia Landings</t>
  </si>
  <si>
    <t>2021-077C</t>
  </si>
  <si>
    <t>Cypress Garden Apartments</t>
  </si>
  <si>
    <t>2021-285H</t>
  </si>
  <si>
    <t>Hermosa Arcadia</t>
  </si>
  <si>
    <t>2021-280H</t>
  </si>
  <si>
    <t>Meadow Park</t>
  </si>
  <si>
    <t>2021-054C</t>
  </si>
  <si>
    <t>Tranquility at Ferry Pass</t>
  </si>
  <si>
    <t>2020-419BS</t>
  </si>
  <si>
    <t>Arbours at Quincy</t>
  </si>
  <si>
    <t>2022-247H</t>
  </si>
  <si>
    <t>Cross Creek Gardens at Quincy</t>
  </si>
  <si>
    <t>2021-282H</t>
  </si>
  <si>
    <t>Casa San Alfonso</t>
  </si>
  <si>
    <t>2022-242H</t>
  </si>
  <si>
    <t>Pollywog Creek Mews</t>
  </si>
  <si>
    <t>2020-301C</t>
  </si>
  <si>
    <t>Rochester Park</t>
  </si>
  <si>
    <t>2020-404S</t>
  </si>
  <si>
    <t>Orange Blossom Village</t>
  </si>
  <si>
    <t>2021-281H</t>
  </si>
  <si>
    <t>Thomas Pines</t>
  </si>
  <si>
    <t>2022-241H</t>
  </si>
  <si>
    <t>Tranquility at Hope School Phase II</t>
  </si>
  <si>
    <t>2022-023C</t>
  </si>
  <si>
    <t>Hibiscus Apartments Phase Two</t>
  </si>
  <si>
    <t>2020-227C</t>
  </si>
  <si>
    <t>Madison Square</t>
  </si>
  <si>
    <t>2021-222BS</t>
  </si>
  <si>
    <t>St. Peter Claver Place Phase I</t>
  </si>
  <si>
    <t>2022-006C</t>
  </si>
  <si>
    <t>Emery Cove</t>
  </si>
  <si>
    <t>2020-390S</t>
  </si>
  <si>
    <t>2021-104C</t>
  </si>
  <si>
    <t>Magnolia Family II</t>
  </si>
  <si>
    <t>2022-190S</t>
  </si>
  <si>
    <t>Ridge Road</t>
  </si>
  <si>
    <t>2021-287H</t>
  </si>
  <si>
    <t>Liberty Crossings</t>
  </si>
  <si>
    <t>2022-137BSN</t>
  </si>
  <si>
    <t>Astoria on 9th</t>
  </si>
  <si>
    <t>2020-384BS</t>
  </si>
  <si>
    <t>Parrish Oaks II</t>
  </si>
  <si>
    <t>2021-111C</t>
  </si>
  <si>
    <t>RIVERVIEW6</t>
  </si>
  <si>
    <t>2022-032C</t>
  </si>
  <si>
    <t>Madison Oaks West</t>
  </si>
  <si>
    <t>2021-320CS</t>
  </si>
  <si>
    <t>2022-265CS</t>
  </si>
  <si>
    <t>Lofts at Bahama Village</t>
  </si>
  <si>
    <t>2021-130C</t>
  </si>
  <si>
    <t>Arbours at Crestview</t>
  </si>
  <si>
    <t>2022-146BSN</t>
  </si>
  <si>
    <t>Princeton Grove</t>
  </si>
  <si>
    <t>2020-250C</t>
  </si>
  <si>
    <t>Shoreline Villas</t>
  </si>
  <si>
    <t>2022-186S</t>
  </si>
  <si>
    <t>Falcon Trace II</t>
  </si>
  <si>
    <t>2022-060C</t>
  </si>
  <si>
    <t>Madison Grove</t>
  </si>
  <si>
    <t>2021-098C</t>
  </si>
  <si>
    <t>Pinnacle at the Wesleyan</t>
  </si>
  <si>
    <t>2021-206BS</t>
  </si>
  <si>
    <t>Rosewood Pointe</t>
  </si>
  <si>
    <t>2021-110B</t>
  </si>
  <si>
    <t xml:space="preserve">The Salix on Vine </t>
  </si>
  <si>
    <t>2022-030C</t>
  </si>
  <si>
    <t>Oaks at Green Key Apartments</t>
  </si>
  <si>
    <t>2021-081C</t>
  </si>
  <si>
    <t>Tanager Square</t>
  </si>
  <si>
    <t>2022-029C</t>
  </si>
  <si>
    <t>Florence Place</t>
  </si>
  <si>
    <t>2020-308C</t>
  </si>
  <si>
    <t>Park Ridge, f/k/a Oak Park Villas</t>
  </si>
  <si>
    <t>2021-108C</t>
  </si>
  <si>
    <t>Swan Landing</t>
  </si>
  <si>
    <t>Saint Johns</t>
  </si>
  <si>
    <t>2022-043C</t>
  </si>
  <si>
    <t>Saint Lucie</t>
  </si>
  <si>
    <t>2021-090C</t>
  </si>
  <si>
    <t>Blue Sky Landing II</t>
  </si>
  <si>
    <t>2020-173C</t>
  </si>
  <si>
    <t>Tranquility at Milton</t>
  </si>
  <si>
    <t>2021-253BSN</t>
  </si>
  <si>
    <t>Arbor Park</t>
  </si>
  <si>
    <t>2020-313C</t>
  </si>
  <si>
    <t>Cypress Square fka Amaryllis Park Place II</t>
  </si>
  <si>
    <t>2022-022C</t>
  </si>
  <si>
    <t>Banyan East Town Apartments</t>
  </si>
  <si>
    <t>2021-083C</t>
  </si>
  <si>
    <t>Monroe Place</t>
  </si>
  <si>
    <t>2021-255SN</t>
  </si>
  <si>
    <t>Somerset Landings</t>
  </si>
  <si>
    <t>2022-075C</t>
  </si>
  <si>
    <t>Bristol Manor</t>
  </si>
  <si>
    <t>2020-311C</t>
  </si>
  <si>
    <t>2021-288H</t>
  </si>
  <si>
    <t>Greyes Place Phase II</t>
  </si>
  <si>
    <t>2021-136C</t>
  </si>
  <si>
    <t>Rosemary Place</t>
  </si>
  <si>
    <t>If “Yes”, these properties will be disregarded for purposes of the Mandatory Distance Requirement. Identify the specific Development(s) to disregard by selecting it (them) from the dropdown menu(s) below. Use the Adenda if more properties are needed to be identified.</t>
  </si>
  <si>
    <t>Proximity List is located in Data2 tab.</t>
  </si>
  <si>
    <t>No scoring is programmed in this section.</t>
  </si>
  <si>
    <t>SAU taken from both (a) and (b)</t>
  </si>
  <si>
    <t>TB Order</t>
  </si>
  <si>
    <t>32903</t>
  </si>
  <si>
    <t>Needs to be a locked formula and not a dropdown menu</t>
  </si>
  <si>
    <t>RFA 2022-109</t>
  </si>
  <si>
    <t>Exhibit A to RFA 2022-109 SAIL and HOME-ARP Financing for Smaller Developments for Persons with Special Needs</t>
  </si>
  <si>
    <r>
      <t xml:space="preserve">For each Developer entity listed in question (1) above (that is not a natural person, Local Government, or Public Housing Authority), provide, </t>
    </r>
    <r>
      <rPr>
        <b/>
        <sz val="11"/>
        <color theme="1"/>
        <rFont val="Calibri"/>
        <family val="2"/>
        <scheme val="minor"/>
      </rPr>
      <t>as Attachment 4</t>
    </r>
    <r>
      <rPr>
        <sz val="11"/>
        <color theme="1"/>
        <rFont val="Calibri"/>
        <family val="2"/>
        <scheme val="minor"/>
      </rPr>
      <t>, the required documentation demonstrating that the Developer is a legally formed entity qualified to do business in the state of Florida as of the Application Deadline.</t>
    </r>
  </si>
  <si>
    <t xml:space="preserve">The Principals of the Applicant and Developer(s) Disclosure Form (Form Rev. 05-2019) (“Principals Disclosure Form”) must be uploaded with the Application and Development Cost Pro Forma, as outlined in Section Three of the RFA, and meet the requirements of Section Four of the RFA. </t>
  </si>
  <si>
    <t>Prorata NHTF Distribution</t>
  </si>
  <si>
    <t>Accessibility feature requirements regarding Level 1 or Level 2 for all Developments are outlined in Section Four.</t>
  </si>
  <si>
    <t>Section 4.D.
Applicant Certification and Acknowledgement Form</t>
  </si>
  <si>
    <t>Section 4.A.11 or 12
Local Government Contributions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</si>
  <si>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</si>
  <si>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</si>
  <si>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</si>
  <si>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</si>
  <si>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</si>
  <si>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Select the Minimum Set-Aside Commitment for Permanent Supportive Housing for Persons with Special Needs</t>
  </si>
  <si>
    <t>Select at least one box from options (1) through (5) below that specifies the defined Persons with Special Needs population(s) that the Applicant proposes to serve.  The Applicant may serve more than one of the populations below.</t>
  </si>
  <si>
    <t>(4)</t>
  </si>
  <si>
    <t>(5)</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</si>
  <si>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</si>
  <si>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</si>
  <si>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</si>
  <si>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</si>
  <si>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</si>
  <si>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Rehabilitation Expense Measure Met</t>
  </si>
  <si>
    <t>Qualified Basis per HC Unit Requirement Met</t>
  </si>
  <si>
    <t>Rehabilitation Expense Measure</t>
  </si>
  <si>
    <r>
      <t xml:space="preserve">•  The Non-Profit Entity Material Participation Questionnaire (Form Rev. 10-2021); </t>
    </r>
    <r>
      <rPr>
        <b/>
        <u/>
        <sz val="11"/>
        <color theme="1"/>
        <rFont val="Calibri"/>
        <family val="2"/>
      </rPr>
      <t>and</t>
    </r>
  </si>
  <si>
    <t>•  The Executive Director Certification of Non-Profit Material Participation form (Rev. 10-2021).</t>
  </si>
  <si>
    <r>
      <t xml:space="preserve">Provide all of the following documents as </t>
    </r>
    <r>
      <rPr>
        <b/>
        <sz val="11"/>
        <rFont val="Calibri"/>
        <family val="2"/>
        <scheme val="minor"/>
      </rPr>
      <t>Attachment 2</t>
    </r>
    <r>
      <rPr>
        <sz val="11"/>
        <rFont val="Calibri"/>
        <family val="2"/>
        <scheme val="minor"/>
      </rPr>
      <t xml:space="preserve"> for </t>
    </r>
    <r>
      <rPr>
        <b/>
        <u/>
        <sz val="11"/>
        <rFont val="Calibri"/>
        <family val="2"/>
        <scheme val="minor"/>
      </rPr>
      <t>each</t>
    </r>
    <r>
      <rPr>
        <sz val="11"/>
        <rFont val="Calibri"/>
        <family val="2"/>
        <scheme val="minor"/>
      </rPr>
      <t xml:space="preserve"> non-profit entity that makes up the Applicant:</t>
    </r>
  </si>
  <si>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</si>
  <si>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</si>
  <si>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</si>
  <si>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</si>
  <si>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RFA 2022-102 Submission Goal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</si>
  <si>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</si>
  <si>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</si>
  <si>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</si>
  <si>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</si>
  <si>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</si>
  <si>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r>
      <t xml:space="preserve">          AIT, </t>
    </r>
    <r>
      <rPr>
        <b/>
        <sz val="11"/>
        <color theme="1"/>
        <rFont val="Calibri"/>
        <family val="2"/>
        <scheme val="minor"/>
      </rPr>
      <t>Non</t>
    </r>
    <r>
      <rPr>
        <sz val="11"/>
        <color theme="1"/>
        <rFont val="Calibri"/>
        <family val="2"/>
        <scheme val="minor"/>
      </rPr>
      <t>-Self-Sourced: Minimum Base ELI Commitment</t>
    </r>
  </si>
  <si>
    <r>
      <t xml:space="preserve">          AIT, </t>
    </r>
    <r>
      <rPr>
        <b/>
        <sz val="11"/>
        <color theme="1"/>
        <rFont val="Calibri"/>
        <family val="2"/>
        <scheme val="minor"/>
      </rPr>
      <t>Non</t>
    </r>
    <r>
      <rPr>
        <sz val="11"/>
        <color theme="1"/>
        <rFont val="Calibri"/>
        <family val="2"/>
        <scheme val="minor"/>
      </rPr>
      <t>-Self-Sourced: Amount of ELI to be purchased</t>
    </r>
  </si>
  <si>
    <r>
      <rPr>
        <b/>
        <sz val="11"/>
        <color rgb="FF7030A0"/>
        <rFont val="Calibri"/>
        <family val="2"/>
        <scheme val="minor"/>
      </rPr>
      <t>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Amount of ELI to be purchased</t>
    </r>
  </si>
  <si>
    <r>
      <rPr>
        <b/>
        <sz val="11"/>
        <color rgb="FF7030A0"/>
        <rFont val="Calibri"/>
        <family val="2"/>
        <scheme val="minor"/>
      </rPr>
      <t>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Minimum Base ELI Commitment</t>
    </r>
  </si>
  <si>
    <r>
      <t xml:space="preserve">          AIT,           </t>
    </r>
    <r>
      <rPr>
        <u/>
        <sz val="11"/>
        <color rgb="FF7030A0"/>
        <rFont val="Calibri"/>
        <family val="2"/>
        <scheme val="minor"/>
      </rPr>
      <t>Self-Sourced</t>
    </r>
    <r>
      <rPr>
        <sz val="11"/>
        <color rgb="FF7030A0"/>
        <rFont val="Calibri"/>
        <family val="2"/>
        <scheme val="minor"/>
      </rPr>
      <t>: Minimum Base ELI Commitment</t>
    </r>
  </si>
  <si>
    <r>
      <t xml:space="preserve">          AIT,           </t>
    </r>
    <r>
      <rPr>
        <u/>
        <sz val="11"/>
        <color rgb="FF7030A0"/>
        <rFont val="Calibri"/>
        <family val="2"/>
        <scheme val="minor"/>
      </rPr>
      <t>Self-Sourced</t>
    </r>
    <r>
      <rPr>
        <sz val="11"/>
        <color rgb="FF7030A0"/>
        <rFont val="Calibri"/>
        <family val="2"/>
        <scheme val="minor"/>
      </rPr>
      <t>: Amount of ELI to be purchased</t>
    </r>
  </si>
  <si>
    <t>Minimum # of Units - General (Small County)</t>
  </si>
  <si>
    <t>Minimum # of Units - General (Medium County)</t>
  </si>
  <si>
    <t>Minimum # of Units - General (Large County)</t>
  </si>
  <si>
    <t>Maximum # of Units - General (Small County)</t>
  </si>
  <si>
    <t>Maximum # of Units - General (Medium County)</t>
  </si>
  <si>
    <t>Maximum # of Units - General (Large County)</t>
  </si>
  <si>
    <r>
      <t xml:space="preserve">To demonstrate that this definition is met, Applicants must meet the requirements in </t>
    </r>
    <r>
      <rPr>
        <b/>
        <sz val="11"/>
        <rFont val="Calibri"/>
        <family val="2"/>
        <scheme val="minor"/>
      </rPr>
      <t>both</t>
    </r>
    <r>
      <rPr>
        <sz val="11"/>
        <rFont val="Calibri"/>
        <family val="2"/>
        <scheme val="minor"/>
      </rPr>
      <t xml:space="preserve"> (a) and (b) below.</t>
    </r>
  </si>
  <si>
    <t>Material Participation</t>
  </si>
  <si>
    <r>
      <t xml:space="preserve">To meet this eligibility requirement, </t>
    </r>
    <r>
      <rPr>
        <b/>
        <sz val="11"/>
        <color theme="1"/>
        <rFont val="Calibri"/>
        <family val="2"/>
        <scheme val="minor"/>
      </rPr>
      <t>for each Non-Profit entity that makes up the Non-Profit Applicant</t>
    </r>
    <r>
      <rPr>
        <sz val="11"/>
        <color theme="1"/>
        <rFont val="Calibri"/>
        <family val="2"/>
        <scheme val="minor"/>
      </rPr>
      <t xml:space="preserve"> provide </t>
    </r>
    <r>
      <rPr>
        <b/>
        <sz val="11"/>
        <color theme="1"/>
        <rFont val="Calibri"/>
        <family val="2"/>
        <scheme val="minor"/>
      </rPr>
      <t>either</t>
    </r>
    <r>
      <rPr>
        <sz val="11"/>
        <color theme="1"/>
        <rFont val="Calibri"/>
        <family val="2"/>
        <scheme val="minor"/>
      </rPr>
      <t xml:space="preserve"> the Executive Director Certification of Non-Profit Entity Qualifications Form (Rev. 10-2021) </t>
    </r>
    <r>
      <rPr>
        <b/>
        <u/>
        <sz val="11"/>
        <color theme="1"/>
        <rFont val="Calibri"/>
        <family val="2"/>
        <scheme val="minor"/>
      </rPr>
      <t xml:space="preserve">that was stamped “Approved” by the Corporation </t>
    </r>
    <r>
      <rPr>
        <sz val="11"/>
        <color theme="1"/>
        <rFont val="Calibri"/>
        <family val="2"/>
        <scheme val="minor"/>
      </rPr>
      <t>through the Non-Profit Advance Review Process</t>
    </r>
    <r>
      <rPr>
        <b/>
        <u/>
        <sz val="11"/>
        <color theme="1"/>
        <rFont val="Calibri"/>
        <family val="2"/>
        <scheme val="minor"/>
      </rPr>
      <t>; or</t>
    </r>
    <r>
      <rPr>
        <sz val="11"/>
        <color theme="1"/>
        <rFont val="Calibri"/>
        <family val="2"/>
        <scheme val="minor"/>
      </rPr>
      <t xml:space="preserve"> the Non-Profit Application Package as </t>
    </r>
    <r>
      <rPr>
        <b/>
        <sz val="11"/>
        <color theme="1"/>
        <rFont val="Calibri"/>
        <family val="2"/>
        <scheme val="minor"/>
      </rPr>
      <t>Attachment 2.</t>
    </r>
  </si>
  <si>
    <t>Demonstration of Non-Profit entity qualifications</t>
  </si>
  <si>
    <t>First completed affordable rental housing development that meets the experience requirement outlined in Section Four, A.3.b.(3) of the RFA:</t>
  </si>
  <si>
    <t>Required Developer Experience</t>
  </si>
  <si>
    <t xml:space="preserve">At least one Developer entity named in (1) above must meet the Developer experience outlined in Section Four of the RFA. </t>
  </si>
  <si>
    <t>Application's Eligible SAIL + HOME-ARP Request Amount PU</t>
  </si>
  <si>
    <t>Application's Eligible SAIL + HOME-ARP Request as Percentage of TDC Preference</t>
  </si>
  <si>
    <t>This determines if Unit Mix Chart has 100% units accounted for.</t>
  </si>
  <si>
    <t>This determines if either chart (a) or chart (b), as applicable, has 100% units accounted for.</t>
  </si>
  <si>
    <t>The required Set-Aside Commitments are provided in the RFA.</t>
  </si>
  <si>
    <t>Maximum HOME-ARP TDC Request Amount Limit**:</t>
  </si>
  <si>
    <t>Matches Eligible HOME-ARP Request Amount</t>
  </si>
  <si>
    <t>Required Green Building features for all Developments are outlined in Section Four.</t>
  </si>
  <si>
    <t>In addition to the required Green Building features outlined in (1) above, select enough additional Green Building features below so that the total point value of the features selected equals at least 10 points. To make a selection, click on the appropriate box in column C.</t>
  </si>
  <si>
    <t>For Development Type of Mid-Rise:</t>
  </si>
  <si>
    <t>Trad Multipliers</t>
  </si>
  <si>
    <t xml:space="preserve">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sum of the Applicant’s Eligible HOME-ARP Request Amount PLUS the Applicant’s Eligible SAIL Request Amount; and (ii) the qualified funding proposals demonstrate Cash Funding for an amount that is equal to at least 3 percent of the sum of the Applicant’s Eligible HOME-ARP Request Amount PLUS the Applicant’s Eligible SAIL Request Amount, the Applicant will receive preference in the funding selection process.  </t>
  </si>
  <si>
    <t>Donation of Land by a Local Government</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</si>
  <si>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</si>
  <si>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</si>
  <si>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The Applicant entity will enter into legal contract with a provider or services that meets the Services Coordination Experience Requirements outlined in Section Four, A.9.b.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10.  This form must be signed by the Authorized Principal Representative.</t>
  </si>
  <si>
    <t>The Applicant entity meets the Services Coordination Experience Requirements outlined in Section Four, A.9.a. of this RFA as demonstrated in the information provided below.</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</si>
  <si>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to Homeless households and/or Persons with Special Needs, as described in Section Four, A.9. of RFA.</t>
  </si>
  <si>
    <t>First completed development that serves Homeless individuals and families and/or Persons with Special Needs that meets the experience requirement outlined in Section Four, A.9.b.(1) of the RFA (required):</t>
  </si>
  <si>
    <t>Second completed development that serves Homeless individuals and families and/or Persons with Special Needs that meets the experience requirement outlined in Section Four, A.9.b.(1) of the RFA  (required):</t>
  </si>
  <si>
    <t>Third completed development that serves Homeless individuals and families and/or Persons with Special Needs that meets the experience requirement outlined in Section Four, A.9.b.(1) of the RFA (if needed):</t>
  </si>
  <si>
    <t>Fourth completed development that serves Homeless individuals and families and/or Persons with Special Needs that meets the experience requirement outlined in Section Four, A.9.b.(1) of the RFA (if needed):</t>
  </si>
  <si>
    <t>Total Units in the above developments that serves Homeless individuals and families and/or Persons with Special Needs that meets the experience requirement outlined in Section Four, A.9.b.(1) of the RFA:</t>
  </si>
  <si>
    <t>Total Number of Units from the above four developments:</t>
  </si>
  <si>
    <r>
      <t xml:space="preserve">White-out the input &amp; marker indicators in columns J:L in </t>
    </r>
    <r>
      <rPr>
        <b/>
        <sz val="11"/>
        <color theme="1"/>
        <rFont val="Calibri"/>
        <family val="2"/>
        <scheme val="minor"/>
      </rPr>
      <t>Services</t>
    </r>
    <r>
      <rPr>
        <sz val="11"/>
        <color theme="1"/>
        <rFont val="Calibri"/>
        <family val="2"/>
        <scheme val="minor"/>
      </rPr>
      <t xml:space="preserve"> tab:</t>
    </r>
  </si>
  <si>
    <r>
      <t>process where it will be sized.</t>
    </r>
    <r>
      <rPr>
        <sz val="8"/>
        <color theme="0"/>
        <rFont val="Arial"/>
        <family val="2"/>
      </rPr>
      <t xml:space="preserve"> The final cost certification may include an ODR, but it cannot exceed the amount sized during </t>
    </r>
  </si>
  <si>
    <t xml:space="preserve">To the extent any variances occur between this Pro forma and the other worksheet tabs of Exhibit A., the responses in the other </t>
  </si>
  <si>
    <t>worksheet tabs of Exhibit A. will take precedence.</t>
  </si>
  <si>
    <t>TOTAL COSTS</t>
  </si>
  <si>
    <t>Section 4.C
Narrative Scoring</t>
  </si>
  <si>
    <t>The Narrative Scoring section is available in a separate document in Microsoft Word.  This document must be downloaded from the RFA Webpage, then completed and uploaded as part of the Application Package described in Section Three of the RFA.</t>
  </si>
  <si>
    <t>White-Out?</t>
  </si>
  <si>
    <t>Very-Hidden?</t>
  </si>
  <si>
    <t>Is the Resident Programs tab to be very hidden?</t>
  </si>
  <si>
    <t>21.</t>
  </si>
  <si>
    <t>The Applicant has reviewed section 67-48.004, F.A.C. and subsections 67-48.009(5), F.A.C. , and certifies to its eligibility to apply for the funding offered in this RFA.</t>
  </si>
  <si>
    <t>The Applicant’s commitments will be included in (i) a Land Use Restriction Agreement for the loans and must be maintained in order for the Development to remain in compliance, unless the Board approves a change.</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</si>
  <si>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</si>
  <si>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</si>
  <si>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must be active in the Continuum of Care, which means that at least one paid employee of the Applicant entity or member of the Board of Directors of the Applicant entity will, at a minimum, participate in meetings of the Local Homeless Assistance Continuum of Care in the jurisdiction that serves the community in which the proposed Development is located, as outlined in the RFA. For purposes of this provision, “regularly” means at least quarterly.</t>
  </si>
  <si>
    <t>Magnolia Family - sites 1-3</t>
  </si>
  <si>
    <t>Coco Vista - sites 1-2</t>
  </si>
  <si>
    <t>Villages of New Augustine - sites 1-3</t>
  </si>
  <si>
    <t>Greenlawn Manor, f/k/a Westside Phase I - sites 1-3</t>
  </si>
  <si>
    <t>Request Amount whole number limits</t>
  </si>
  <si>
    <t>Minimum</t>
  </si>
  <si>
    <t>Maximum</t>
  </si>
  <si>
    <t>Check Box Reference Cells</t>
  </si>
  <si>
    <t>(a) Select the Minimum Set-Aside Commitment for …</t>
  </si>
  <si>
    <t>(b) Select at least one box from options (1) through (5) below that …</t>
  </si>
  <si>
    <t>4.A.2.a.&amp;b.</t>
  </si>
  <si>
    <t>(3) Selection of Green Building options</t>
  </si>
  <si>
    <t>1. Thermostat</t>
  </si>
  <si>
    <t>2. Humidistat</t>
  </si>
  <si>
    <t>3. Dual Flush</t>
  </si>
  <si>
    <t>4. Light Pavement</t>
  </si>
  <si>
    <t>5. Roof Coating</t>
  </si>
  <si>
    <t>6. Roof Materials</t>
  </si>
  <si>
    <t>7. Cabinets</t>
  </si>
  <si>
    <t>8. Flooring</t>
  </si>
  <si>
    <t>9. Seer for AC</t>
  </si>
  <si>
    <t>10. Windows</t>
  </si>
  <si>
    <t xml:space="preserve">         This spacing is needed</t>
  </si>
  <si>
    <t>11. Yards</t>
  </si>
  <si>
    <t>12. Sensors</t>
  </si>
  <si>
    <t>a. Commit to provide …</t>
  </si>
  <si>
    <t>1. After School</t>
  </si>
  <si>
    <t>2. Literacy Family</t>
  </si>
  <si>
    <t>3. Employment Assistance General</t>
  </si>
  <si>
    <t>4. Family Support Coordinator</t>
  </si>
  <si>
    <t>5. Financial Counceling</t>
  </si>
  <si>
    <t>6. Homeownership Seminar</t>
  </si>
  <si>
    <t>b. Developments Serving …</t>
  </si>
  <si>
    <t>(3) 1. Adult Literacy</t>
  </si>
  <si>
    <t>(3) 2. Computer Training</t>
  </si>
  <si>
    <t>(3) 3. Daily Activities</t>
  </si>
  <si>
    <t>(3) 4. Housekeeping</t>
  </si>
  <si>
    <t>(3) 5. Check-In Program</t>
  </si>
  <si>
    <t>4.A.8.d.(3)</t>
  </si>
  <si>
    <t>4.A.9.</t>
  </si>
  <si>
    <t>Section 4.A.11
HOME Uniform Relocation Act</t>
  </si>
  <si>
    <t>Are there any units occupied?</t>
  </si>
  <si>
    <t>Tenant Relocation Information for Existing Properties</t>
  </si>
  <si>
    <t xml:space="preserve">If “Yes”, how many units are affected? </t>
  </si>
  <si>
    <t>If “Yes”, how many tenants will require temporary relocation?</t>
  </si>
  <si>
    <t>(1)   Does the Applicant own the Development site?</t>
  </si>
  <si>
    <t>If “No” - Answer question (2) below.</t>
  </si>
  <si>
    <t>(2)   Is Applicant a private company?</t>
  </si>
  <si>
    <t>If “No” - Answer question (3) below.</t>
  </si>
  <si>
    <t>(3)   Is the Applicant a public (government) Applicant?</t>
  </si>
  <si>
    <t>If “Yes” - Answer question (4) below.</t>
  </si>
  <si>
    <t>If “No” - Skip question (4) below.</t>
  </si>
  <si>
    <t>(4)   Does the Applicant have eminent domain power?</t>
  </si>
  <si>
    <r>
      <t xml:space="preserve">If “Yes” - Provide a copy of the required notice as </t>
    </r>
    <r>
      <rPr>
        <b/>
        <sz val="11"/>
        <color theme="1"/>
        <rFont val="Calibri"/>
        <family val="2"/>
        <scheme val="minor"/>
      </rPr>
      <t>Attachment 19</t>
    </r>
    <r>
      <rPr>
        <sz val="11"/>
        <color theme="1"/>
        <rFont val="Calibri"/>
        <family val="2"/>
        <scheme val="minor"/>
      </rPr>
      <t xml:space="preserve">. </t>
    </r>
  </si>
  <si>
    <r>
      <t xml:space="preserve">If “No” - Provide the required information as </t>
    </r>
    <r>
      <rPr>
        <b/>
        <sz val="11"/>
        <color theme="1"/>
        <rFont val="Calibri"/>
        <family val="2"/>
        <scheme val="minor"/>
      </rPr>
      <t>Attachment 19</t>
    </r>
    <r>
      <rPr>
        <sz val="11"/>
        <color theme="1"/>
        <rFont val="Calibri"/>
        <family val="2"/>
        <scheme val="minor"/>
      </rPr>
      <t>.</t>
    </r>
  </si>
  <si>
    <t>Construction Check Box Reference Cells</t>
  </si>
  <si>
    <t>Resident Programs Check Box Reference Cells</t>
  </si>
  <si>
    <t>These need a Demographic of Family or Workforce</t>
  </si>
  <si>
    <t>These need a Demographic of Elderly ALF or Non-ALF</t>
  </si>
  <si>
    <t>HSS &amp; Coordination Check Box Reference Cells</t>
  </si>
  <si>
    <t>1. 3rd Party Experience</t>
  </si>
  <si>
    <t>2. Applicant Experience</t>
  </si>
  <si>
    <t>Other Corporation Funding Check Box Reference Cells</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</si>
  <si>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</si>
  <si>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NC or Redev w/ or w/o Acquisition</t>
  </si>
  <si>
    <t>Uniform Relocation Act (URA) Acquisition Information</t>
  </si>
  <si>
    <t>How many total units now exist in the development?</t>
  </si>
  <si>
    <t>How many units are occupied?</t>
  </si>
  <si>
    <t>Based on the income information of each tenant, is permanent relocation (displacement) anticipated during or after the construction/redevelopment period?</t>
  </si>
  <si>
    <t>If “Yes” – Go to question b. below;    If “No” – Go to question c. below.</t>
  </si>
  <si>
    <t>Will temporary relocation of any tenants be required?</t>
  </si>
  <si>
    <t>(6)</t>
  </si>
  <si>
    <t>(7)</t>
  </si>
  <si>
    <r>
      <t xml:space="preserve">Provide the required description of how the cost of relocation will be covered as </t>
    </r>
    <r>
      <rPr>
        <b/>
        <sz val="11"/>
        <color theme="1"/>
        <rFont val="Calibri"/>
        <family val="2"/>
        <scheme val="minor"/>
      </rPr>
      <t>Attachment 16</t>
    </r>
    <r>
      <rPr>
        <sz val="11"/>
        <color theme="1"/>
        <rFont val="Calibri"/>
        <family val="2"/>
        <scheme val="minor"/>
      </rPr>
      <t>.</t>
    </r>
  </si>
  <si>
    <r>
      <t xml:space="preserve">Provide the required description of how the Development will meet the HOME set-aside requirements as </t>
    </r>
    <r>
      <rPr>
        <b/>
        <sz val="11"/>
        <color theme="1"/>
        <rFont val="Calibri"/>
        <family val="2"/>
        <scheme val="minor"/>
      </rPr>
      <t>Attachment 15</t>
    </r>
    <r>
      <rPr>
        <sz val="11"/>
        <color theme="1"/>
        <rFont val="Calibri"/>
        <family val="2"/>
        <scheme val="minor"/>
      </rPr>
      <t>.</t>
    </r>
  </si>
  <si>
    <r>
      <t xml:space="preserve">Provide the required list of all occupied units and tenant income certifications as </t>
    </r>
    <r>
      <rPr>
        <b/>
        <sz val="11"/>
        <color theme="1"/>
        <rFont val="Calibri"/>
        <family val="2"/>
        <scheme val="minor"/>
      </rPr>
      <t>Attachment 14</t>
    </r>
    <r>
      <rPr>
        <sz val="11"/>
        <color theme="1"/>
        <rFont val="Calibri"/>
        <family val="2"/>
        <scheme val="minor"/>
      </rPr>
      <t>.</t>
    </r>
  </si>
  <si>
    <t>If “Yes” - Skip questions (2) through (4) below.</t>
  </si>
  <si>
    <r>
      <t xml:space="preserve">If “Yes” - Provide a narrative regarding the acquisition as </t>
    </r>
    <r>
      <rPr>
        <b/>
        <sz val="11"/>
        <color theme="1"/>
        <rFont val="Calibri"/>
        <family val="2"/>
        <scheme val="minor"/>
      </rPr>
      <t>Attachment 17</t>
    </r>
    <r>
      <rPr>
        <sz val="11"/>
        <color theme="1"/>
        <rFont val="Calibri"/>
        <family val="2"/>
        <scheme val="minor"/>
      </rPr>
      <t>;</t>
    </r>
  </si>
  <si>
    <t>If “Yes” - Skip questions (3) and (4) below.</t>
  </si>
  <si>
    <r>
      <t xml:space="preserve">If “Yes” - Provide a copy of the notice provided to the current owner/seller as </t>
    </r>
    <r>
      <rPr>
        <b/>
        <sz val="11"/>
        <color theme="1"/>
        <rFont val="Calibri"/>
        <family val="2"/>
        <scheme val="minor"/>
      </rPr>
      <t>Attachment 18</t>
    </r>
    <r>
      <rPr>
        <sz val="11"/>
        <color theme="1"/>
        <rFont val="Calibri"/>
        <family val="2"/>
        <scheme val="minor"/>
      </rPr>
      <t>;</t>
    </r>
  </si>
  <si>
    <r>
      <t>NHTF Request Amount</t>
    </r>
    <r>
      <rPr>
        <b/>
        <sz val="11"/>
        <color theme="1"/>
        <rFont val="Calibri"/>
        <family val="2"/>
        <scheme val="minor"/>
      </rPr>
      <t xml:space="preserve"> (Auto-Filled)</t>
    </r>
    <r>
      <rPr>
        <sz val="11"/>
        <color theme="1"/>
        <rFont val="Calibri"/>
        <family val="2"/>
        <scheme val="minor"/>
      </rPr>
      <t>:</t>
    </r>
  </si>
  <si>
    <r>
      <t xml:space="preserve">White-out the input &amp; marker indicators in columns K: in </t>
    </r>
    <r>
      <rPr>
        <b/>
        <sz val="11"/>
        <color theme="1"/>
        <rFont val="Calibri"/>
        <family val="2"/>
        <scheme val="minor"/>
      </rPr>
      <t>HOME URA</t>
    </r>
    <r>
      <rPr>
        <sz val="11"/>
        <color theme="1"/>
        <rFont val="Calibri"/>
        <family val="2"/>
        <scheme val="minor"/>
      </rPr>
      <t xml:space="preserve"> tab:</t>
    </r>
  </si>
  <si>
    <t>Print Left Footer for All Tabs:</t>
  </si>
  <si>
    <t>Program the Print Header and Footer for All Tabs:</t>
  </si>
  <si>
    <t>(Start by putting cursor in blank cell; Select Developer, Macros, InsertHeaderandFooterForAllSheets, Run)</t>
  </si>
  <si>
    <t>Removed Macros:</t>
  </si>
  <si>
    <t xml:space="preserve">    Dim FooterText As Range</t>
  </si>
  <si>
    <t xml:space="preserve">    Set FooterText = Application.Selection</t>
  </si>
  <si>
    <t xml:space="preserve">    For Each mysheet In Application.ActiveWorkbook.Worksheets</t>
  </si>
  <si>
    <t xml:space="preserve">    Next</t>
  </si>
  <si>
    <t>End Sub</t>
  </si>
  <si>
    <t>Sub InsertCellValueIntoHeaderForAllSheets()</t>
  </si>
  <si>
    <t xml:space="preserve">    Dim HeaderText As Range</t>
  </si>
  <si>
    <t xml:space="preserve">    Set HeaderText = Application.Selection</t>
  </si>
  <si>
    <t xml:space="preserve">    HeaderText = Range("Data1!$A$4").Value</t>
  </si>
  <si>
    <t xml:space="preserve">        mysheet.PageSetup.CenterHeader = "&amp;B&amp;14&amp;K7030A0" &amp; HeaderText &amp; ""</t>
  </si>
  <si>
    <t xml:space="preserve">        mysheet.PageSetup.Zoom = 80</t>
  </si>
  <si>
    <t>Next</t>
  </si>
  <si>
    <t>Sub InsertCellValueIntoFooterForAllSheets()</t>
  </si>
  <si>
    <t xml:space="preserve">    FooterText = Range("Data1!$A$7").Value</t>
  </si>
  <si>
    <t xml:space="preserve">        mysheet.PageSetup.LeftFooter = FooterText</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</si>
  <si>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</si>
  <si>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Required</t>
  </si>
  <si>
    <t>Optional</t>
  </si>
  <si>
    <t>Public Bus Rapid Transit Stop</t>
  </si>
  <si>
    <t>Link to "Count how often a value occurs"</t>
  </si>
  <si>
    <t>Set at 'No' for 109</t>
  </si>
  <si>
    <t>PRELIMENARY TAX EXEMPT BOND ANALYSES</t>
  </si>
  <si>
    <t>Non-ESS</t>
  </si>
  <si>
    <t>ESS</t>
  </si>
  <si>
    <t>Ranking of Number of Units</t>
  </si>
  <si>
    <t>TDC Codes</t>
  </si>
  <si>
    <t>Number of Units by Dev Type</t>
  </si>
  <si>
    <t>NHTF Funding Per Top Type(s)</t>
  </si>
  <si>
    <t>Ranking</t>
  </si>
  <si>
    <t>Units</t>
  </si>
  <si>
    <t>Middle Initial:</t>
  </si>
  <si>
    <t>If Monroe County, is the proposed Development located in the North Florida Keys Area or the South Florida Keys Area for TDC PU Limitation purposes?</t>
  </si>
  <si>
    <t>If Miami-Dade County, is it located north or south of SW 224th Street for minimum total unit and Set-Aside Unit requirements?</t>
  </si>
  <si>
    <t>Number of Units that are NHTF Set-Aside Units</t>
  </si>
  <si>
    <r>
      <t xml:space="preserve">Applicant's SAIL Request Amount </t>
    </r>
    <r>
      <rPr>
        <b/>
        <sz val="11"/>
        <color theme="1"/>
        <rFont val="Calibri"/>
        <family val="2"/>
        <scheme val="minor"/>
      </rPr>
      <t>(Auto-Filled to match HOME-ARP Request Amount)</t>
    </r>
    <r>
      <rPr>
        <sz val="11"/>
        <color theme="1"/>
        <rFont val="Calibri"/>
        <family val="2"/>
        <scheme val="minor"/>
      </rPr>
      <t xml:space="preserve">:  </t>
    </r>
  </si>
  <si>
    <t>For this cell only, enter either a zero (to eliminate the field) or a 3 to not have it included in input tracking.</t>
  </si>
  <si>
    <r>
      <t xml:space="preserve">For funding other than Corporation funding and deferred Developer fee to be counted as a source on the Development Cost Pro Forma, provide documentation of all financing proposals from both the construction and permanent lender(s) and other sources of funding as </t>
    </r>
    <r>
      <rPr>
        <b/>
        <sz val="11"/>
        <color theme="1"/>
        <rFont val="Calibri"/>
        <family val="2"/>
        <scheme val="minor"/>
      </rPr>
      <t>Attachment 13</t>
    </r>
    <r>
      <rPr>
        <sz val="11"/>
        <color theme="1"/>
        <rFont val="Calibri"/>
        <family val="2"/>
        <scheme val="minor"/>
      </rPr>
      <t xml:space="preserve"> to Exhibit A.</t>
    </r>
  </si>
  <si>
    <t>ARP Funding Per All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</si>
</sst>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6">
    <numFmt numFmtId="6" formatCode="&quot;$&quot;#,##0_);[Red]\(&quot;$&quot;#,##0\)"/>
    <numFmt numFmtId="8" formatCode="&quot;$&quot;#,##0.00_);[Red]\(&quot;$&quot;#,##0.00\)"/>
    <numFmt numFmtId="44" formatCode="_(&quot;$&quot;* #,##0.00_);_(&quot;$&quot;* \(#,##0.00\);_(&quot;$&quot;*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_(&quot;$&quot;* #,##0_);_(&quot;$&quot;* \(#,##0\);_(&quot;$&quot;* &quot;-&quot;??_);_(@_)"/>
    <numFmt numFmtId="172" formatCode="0&quot; Units&quot;"/>
    <numFmt numFmtId="173" formatCode="&quot;$&quot;#,##0"/>
    <numFmt numFmtId="174" formatCode="&quot;$&quot;#,##0.00&quot; as a % of TDC&quot;"/>
    <numFmt numFmtId="175" formatCode="&quot;$&quot;#,##0.00"/>
    <numFmt numFmtId="176" formatCode="0&quot; Points&quot;"/>
    <numFmt numFmtId="177" formatCode="&quot;Initial Entry: &quot;0"/>
    <numFmt numFmtId="178" formatCode="&quot; Enter a 0 to exclude section: &quot;0"/>
    <numFmt numFmtId="179" formatCode="&quot; Enter a 0 to exclude Rail: &quot;0"/>
    <numFmt numFmtId="180" formatCode="#,##0.0_);[Red]\(#,##0.0\)"/>
    <numFmt numFmtId="181" formatCode="#,##0.000_);[Red]\(#,##0.000\)"/>
    <numFmt numFmtId="182" formatCode="0.0000"/>
    <numFmt numFmtId="183" formatCode="0.0000&quot;**&quot;"/>
    <numFmt numFmtId="184" formatCode="mm/dd/yyyy;@"/>
    <numFmt numFmtId="185" formatCode="0.0%"/>
    <numFmt numFmtId="186" formatCode="0.0%&quot; NC Units&quot;"/>
    <numFmt numFmtId="187" formatCode="&quot;&gt;= &quot;0.0%&quot; NC&quot;"/>
    <numFmt numFmtId="188" formatCode="&quot;&lt; &quot;0.0%&quot; NC&quot;"/>
    <numFmt numFmtId="189" formatCode="#,##0.00&quot;x&quot;"/>
    <numFmt numFmtId="190" formatCode="#,##0.00000_);[Red]\(#,##0.00000\)"/>
    <numFmt numFmtId="191" formatCode="0.0000%"/>
    <numFmt numFmtId="192" formatCode="&quot;$&quot;#,##0.0000"/>
    <numFmt numFmtId="193" formatCode="0_);[Red]\(0\)"/>
    <numFmt numFmtId="194" formatCode="&quot; Enter a 0 to exclude row: &quot;0"/>
    <numFmt numFmtId="195" formatCode="#,##0&quot; Units&quot;"/>
    <numFmt numFmtId="196" formatCode="#,##0.000&quot; mi&quot;"/>
    <numFmt numFmtId="197" formatCode="#,##0.00&quot; mi&quot;"/>
    <numFmt numFmtId="198" formatCode="#,##0.00&quot; km&quot;"/>
    <numFmt numFmtId="199" formatCode="&quot;Code: &quot;0"/>
    <numFmt numFmtId="200" formatCode="&quot;&lt;= &quot;0.00&quot; mi&quot;"/>
    <numFmt numFmtId="201" formatCode="&quot;&gt; &quot;0.00&quot; mi&quot;"/>
    <numFmt numFmtId="202" formatCode="0.0"/>
    <numFmt numFmtId="203" formatCode="#,##0.0"/>
    <numFmt numFmtId="204" formatCode="#,##0.000"/>
    <numFmt numFmtId="205" formatCode="0.000000"/>
    <numFmt numFmtId="206" formatCode="0&quot; Years&quot;"/>
    <numFmt numFmtId="207" formatCode="0&quot; Total 0 &amp; 1 Bedroom Units&quot;"/>
    <numFmt numFmtId="208" formatCode="0&quot; Total Units over 2 Bedrooms&quot;"/>
    <numFmt numFmtId="209" formatCode="0&quot; Total 0 Bedroom Units&quot;"/>
    <numFmt numFmtId="210" formatCode="0&quot; Total 1 Bedroom Units&quot;"/>
    <numFmt numFmtId="211" formatCode="0&quot; Total 3 Bedroom Units&quot;"/>
    <numFmt numFmtId="212" formatCode="0&quot; Total Units over the Maximum Bedroom Count&quot;"/>
    <numFmt numFmtId="213" formatCode="&quot;Description of Highest Ranking [&quot;0&quot;]&quot;"/>
    <numFmt numFmtId="214" formatCode="&quot;Simple Avg: &quot;&quot;$&quot;#,##0_)"/>
    <numFmt numFmtId="215" formatCode="&quot;Weighted Avg: &quot;&quot;$&quot;#,##0_)"/>
    <numFmt numFmtId="216" formatCode="&quot;Maximum: &quot;&quot;$&quot;#,##0_)"/>
  </numFmts>
  <fonts count="150">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u/>
      <sz val="11"/>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b/>
      <u/>
      <sz val="12"/>
      <color theme="1"/>
      <name val="Calibri"/>
      <family val="2"/>
      <scheme val="minor"/>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sz val="11"/>
      <color rgb="FF00B050"/>
      <name val="Calibri"/>
      <family val="2"/>
      <scheme val="minor"/>
    </font>
    <font>
      <i/>
      <u/>
      <sz val="11"/>
      <color rgb="FFFF000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b/>
      <i/>
      <sz val="10"/>
      <color rgb="FFFF0000"/>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i/>
      <sz val="10"/>
      <color rgb="FFFF0000"/>
      <name val="Arial"/>
      <family val="2"/>
    </font>
    <font>
      <b/>
      <sz val="11"/>
      <name val="Arial"/>
      <family val="2"/>
    </font>
    <font>
      <b/>
      <i/>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b/>
      <sz val="8"/>
      <name val="Arial"/>
      <family val="2"/>
    </font>
    <font>
      <u/>
      <sz val="11"/>
      <color theme="10"/>
      <name val="Calibri"/>
      <family val="2"/>
      <scheme val="minor"/>
    </font>
    <font>
      <sz val="11"/>
      <color theme="1"/>
      <name val="Calibri"/>
      <family val="2"/>
    </font>
    <font>
      <b/>
      <sz val="12"/>
      <color theme="1"/>
      <name val="Calibri"/>
      <family val="2"/>
      <scheme val="minor"/>
    </font>
    <font>
      <sz val="8"/>
      <color rgb="FFC00000"/>
      <name val="Calibri"/>
      <family val="2"/>
      <scheme val="minor"/>
    </font>
    <font>
      <sz val="8"/>
      <color rgb="FFFF0000"/>
      <name val="Calibri"/>
      <family val="2"/>
      <scheme val="minor"/>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1"/>
      <color rgb="FFFF0000"/>
      <name val="Wingdings"/>
      <charset val="2"/>
    </font>
    <font>
      <strike/>
      <sz val="11"/>
      <color theme="1"/>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0"/>
      <color rgb="FF3737FF"/>
      <name val="Calibri"/>
      <family val="2"/>
      <scheme val="minor"/>
    </font>
    <font>
      <b/>
      <sz val="11"/>
      <color rgb="FF7030A0"/>
      <name val="Calibri"/>
      <family val="2"/>
      <scheme val="minor"/>
    </font>
    <font>
      <sz val="10"/>
      <color rgb="FFFF0000"/>
      <name val="Arial"/>
      <family val="2"/>
    </font>
    <font>
      <sz val="10"/>
      <color theme="1"/>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rgb="FFE2EFDA"/>
      <name val="Calibri"/>
      <family val="2"/>
      <scheme val="minor"/>
    </font>
    <font>
      <sz val="11"/>
      <color theme="0" tint="-0.249977111117893"/>
      <name val="Calibri"/>
      <family val="2"/>
      <scheme val="minor"/>
    </font>
    <font>
      <i/>
      <sz val="9"/>
      <color rgb="FFC00000"/>
      <name val="Calibri"/>
      <family val="2"/>
      <scheme val="minor"/>
    </font>
    <font>
      <sz val="9"/>
      <color theme="0"/>
      <name val="Arial"/>
      <family val="2"/>
    </font>
    <font>
      <b/>
      <i/>
      <sz val="11"/>
      <name val="Calibri"/>
      <family val="2"/>
      <scheme val="minor"/>
    </font>
    <font>
      <b/>
      <i/>
      <sz val="11"/>
      <color theme="1"/>
      <name val="Calibri"/>
      <family val="2"/>
      <scheme val="minor"/>
    </font>
    <font>
      <i/>
      <sz val="9"/>
      <color theme="1"/>
      <name val="Calibri"/>
      <family val="2"/>
      <scheme val="minor"/>
    </font>
    <font>
      <sz val="7"/>
      <color theme="1"/>
      <name val="Times New Roman"/>
      <family val="1"/>
    </font>
    <font>
      <vertAlign val="subscript"/>
      <sz val="11"/>
      <color theme="1"/>
      <name val="Calibri"/>
      <family val="2"/>
      <scheme val="minor"/>
    </font>
    <font>
      <sz val="11"/>
      <color theme="1"/>
      <name val="Calibri"/>
      <family val="2"/>
      <charset val="2"/>
      <scheme val="minor"/>
    </font>
    <font>
      <sz val="11"/>
      <color theme="0"/>
      <name val="Calibri"/>
      <family val="2"/>
      <charset val="2"/>
      <scheme val="minor"/>
    </font>
    <font>
      <sz val="11"/>
      <color theme="0"/>
      <name val="Wingdings"/>
      <charset val="2"/>
    </font>
    <font>
      <sz val="11"/>
      <color theme="0"/>
      <name val="Calibri"/>
      <family val="2"/>
    </font>
    <font>
      <b/>
      <u/>
      <sz val="11"/>
      <color rgb="FF7030A0"/>
      <name val="Calibri"/>
      <family val="2"/>
      <scheme val="minor"/>
    </font>
    <font>
      <b/>
      <sz val="10"/>
      <color indexed="8"/>
      <name val="Arial"/>
      <family val="2"/>
    </font>
    <font>
      <sz val="9"/>
      <color rgb="FF333333"/>
      <name val="Calibri"/>
      <family val="2"/>
      <scheme val="minor"/>
    </font>
    <font>
      <sz val="9"/>
      <name val="Calibri"/>
      <family val="2"/>
      <scheme val="minor"/>
    </font>
    <font>
      <b/>
      <u/>
      <sz val="11"/>
      <color theme="1"/>
      <name val="Calibri"/>
      <family val="2"/>
    </font>
    <font>
      <b/>
      <sz val="8"/>
      <color theme="0"/>
      <name val="Arial"/>
      <family val="2"/>
    </font>
    <font>
      <sz val="8"/>
      <color theme="0"/>
      <name val="Arial"/>
      <family val="2"/>
    </font>
    <font>
      <b/>
      <sz val="9"/>
      <color theme="0"/>
      <name val="Arial"/>
      <family val="2"/>
    </font>
    <font>
      <b/>
      <strike/>
      <sz val="9"/>
      <color theme="0"/>
      <name val="Arial"/>
      <family val="2"/>
    </font>
    <font>
      <strike/>
      <sz val="9"/>
      <color theme="0"/>
      <name val="Arial"/>
      <family val="2"/>
    </font>
    <font>
      <sz val="8"/>
      <color theme="1"/>
      <name val="Calibri"/>
      <family val="2"/>
    </font>
    <font>
      <i/>
      <sz val="11"/>
      <color rgb="FFC00000"/>
      <name val="Calibri"/>
      <family val="2"/>
      <scheme val="minor"/>
    </font>
    <font>
      <i/>
      <sz val="10"/>
      <color rgb="FFC00000"/>
      <name val="Calibri"/>
      <family val="2"/>
      <scheme val="minor"/>
    </font>
    <font>
      <b/>
      <i/>
      <sz val="10"/>
      <color theme="0" tint="-0.499984740745262"/>
      <name val="Arial"/>
      <family val="2"/>
    </font>
    <font>
      <sz val="9"/>
      <color rgb="FF7030A0"/>
      <name val="Calibri"/>
      <family val="2"/>
      <scheme val="minor"/>
    </font>
  </fonts>
  <fills count="29">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lightUp">
        <fgColor theme="0" tint="-0.499984740745262"/>
        <bgColor indexed="65"/>
      </patternFill>
    </fill>
    <fill>
      <patternFill patternType="lightUp">
        <fgColor theme="0" tint="-0.24994659260841701"/>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lightGray">
        <fgColor theme="0"/>
        <bgColor rgb="FFFFFFCC"/>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tint="-4.9989318521683403E-2"/>
        <bgColor indexed="64"/>
      </patternFill>
    </fill>
    <fill>
      <patternFill patternType="lightUp">
        <fgColor theme="0" tint="-0.24994659260841701"/>
        <bgColor theme="0"/>
      </patternFill>
    </fill>
    <fill>
      <patternFill patternType="mediumGray">
        <fgColor theme="0"/>
        <bgColor theme="0"/>
      </patternFill>
    </fill>
    <fill>
      <patternFill patternType="mediumGray">
        <fgColor theme="0" tint="-0.24994659260841701"/>
        <bgColor rgb="FFFFFFCC"/>
      </patternFill>
    </fill>
  </fills>
  <borders count="167">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indexed="8"/>
      </bottom>
      <diagonal/>
    </border>
    <border>
      <left/>
      <right/>
      <top/>
      <bottom style="thin">
        <color rgb="FF0000FF"/>
      </bottom>
      <diagonal/>
    </border>
    <border>
      <left/>
      <right/>
      <top style="medium">
        <color auto="1"/>
      </top>
      <bottom/>
      <diagonal/>
    </border>
    <border>
      <left/>
      <right/>
      <top/>
      <bottom style="thin">
        <color indexed="64"/>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medium">
        <color indexed="64"/>
      </top>
      <bottom style="thin">
        <color rgb="FF0000FF"/>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hair">
        <color auto="1"/>
      </top>
      <bottom/>
      <diagonal/>
    </border>
    <border>
      <left/>
      <right style="thin">
        <color indexed="64"/>
      </right>
      <top style="hair">
        <color auto="1"/>
      </top>
      <bottom/>
      <diagonal/>
    </border>
    <border>
      <left style="thin">
        <color indexed="64"/>
      </left>
      <right/>
      <top style="hair">
        <color auto="1"/>
      </top>
      <bottom style="double">
        <color indexed="64"/>
      </bottom>
      <diagonal/>
    </border>
    <border>
      <left/>
      <right/>
      <top style="hair">
        <color auto="1"/>
      </top>
      <bottom style="double">
        <color indexed="64"/>
      </bottom>
      <diagonal/>
    </border>
    <border>
      <left/>
      <right style="thin">
        <color indexed="64"/>
      </right>
      <top style="hair">
        <color auto="1"/>
      </top>
      <bottom style="double">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auto="1"/>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style="thin">
        <color indexed="64"/>
      </left>
      <right style="thin">
        <color indexed="64"/>
      </right>
      <top style="medium">
        <color indexed="64"/>
      </top>
      <bottom style="medium">
        <color indexed="64"/>
      </bottom>
      <diagonal/>
    </border>
    <border>
      <left/>
      <right/>
      <top style="thin">
        <color indexed="64"/>
      </top>
      <bottom style="dashed">
        <color auto="1"/>
      </bottom>
      <diagonal/>
    </border>
    <border>
      <left/>
      <right/>
      <top style="dashed">
        <color auto="1"/>
      </top>
      <bottom style="thin">
        <color indexed="64"/>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dotted">
        <color auto="1"/>
      </bottom>
      <diagonal/>
    </border>
    <border>
      <left/>
      <right style="hair">
        <color auto="1"/>
      </right>
      <top/>
      <bottom style="dotted">
        <color auto="1"/>
      </bottom>
      <diagonal/>
    </border>
    <border>
      <left style="hair">
        <color auto="1"/>
      </left>
      <right/>
      <top style="dotted">
        <color auto="1"/>
      </top>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style="thin">
        <color indexed="64"/>
      </left>
      <right style="thin">
        <color indexed="64"/>
      </right>
      <top style="thin">
        <color rgb="FF0000FF"/>
      </top>
      <bottom style="double">
        <color rgb="FF0000FF"/>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style="thin">
        <color indexed="64"/>
      </left>
      <right style="thin">
        <color indexed="64"/>
      </right>
      <top style="thin">
        <color rgb="FF0000FF"/>
      </top>
      <bottom style="hair">
        <color rgb="FF0000FF"/>
      </bottom>
      <diagonal/>
    </border>
    <border>
      <left style="thin">
        <color indexed="64"/>
      </left>
      <right style="thin">
        <color indexed="64"/>
      </right>
      <top style="hair">
        <color rgb="FF0000FF"/>
      </top>
      <bottom style="hair">
        <color rgb="FF0000FF"/>
      </bottom>
      <diagonal/>
    </border>
    <border>
      <left style="thin">
        <color indexed="64"/>
      </left>
      <right style="thin">
        <color indexed="64"/>
      </right>
      <top style="hair">
        <color rgb="FF0000FF"/>
      </top>
      <bottom style="thin">
        <color rgb="FF0000FF"/>
      </bottom>
      <diagonal/>
    </border>
    <border>
      <left/>
      <right style="dashed">
        <color auto="1"/>
      </right>
      <top/>
      <bottom/>
      <diagonal/>
    </border>
    <border>
      <left/>
      <right style="dashed">
        <color auto="1"/>
      </right>
      <top/>
      <bottom style="thin">
        <color auto="1"/>
      </bottom>
      <diagonal/>
    </border>
    <border>
      <left style="dashed">
        <color auto="1"/>
      </left>
      <right/>
      <top/>
      <bottom/>
      <diagonal/>
    </border>
    <border>
      <left/>
      <right style="dashed">
        <color auto="1"/>
      </right>
      <top style="thin">
        <color indexed="64"/>
      </top>
      <bottom style="thin">
        <color auto="1"/>
      </bottom>
      <diagonal/>
    </border>
    <border>
      <left/>
      <right style="dashed">
        <color auto="1"/>
      </right>
      <top style="thin">
        <color auto="1"/>
      </top>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thin">
        <color indexed="64"/>
      </right>
      <top/>
      <bottom style="thin">
        <color auto="1"/>
      </bottom>
      <diagonal/>
    </border>
  </borders>
  <cellStyleXfs count="12">
    <xf numFmtId="0" fontId="0" fillId="0" borderId="0"/>
    <xf numFmtId="44" fontId="1" fillId="0" borderId="0" applyFont="0" applyFill="0" applyBorder="0" applyAlignment="0" applyProtection="0"/>
    <xf numFmtId="0" fontId="7" fillId="0" borderId="0"/>
    <xf numFmtId="9" fontId="7" fillId="0" borderId="0" applyFont="0" applyFill="0" applyBorder="0" applyAlignment="0" applyProtection="0"/>
    <xf numFmtId="9" fontId="1" fillId="0" borderId="0" applyFont="0" applyFill="0" applyBorder="0" applyAlignment="0" applyProtection="0"/>
    <xf numFmtId="0" fontId="95" fillId="0" borderId="0" applyNumberFormat="0" applyFill="0" applyBorder="0" applyAlignment="0" applyProtection="0"/>
    <xf numFmtId="0" fontId="136" fillId="0" borderId="0" applyNumberFormat="0" applyFill="0" applyBorder="0" applyAlignment="0" applyProtection="0"/>
    <xf numFmtId="0" fontId="30" fillId="0" borderId="0"/>
    <xf numFmtId="0" fontId="1" fillId="0" borderId="0"/>
    <xf numFmtId="0" fontId="1" fillId="0" borderId="0"/>
    <xf numFmtId="0" fontId="1" fillId="0" borderId="0"/>
    <xf numFmtId="0" fontId="30" fillId="0" borderId="0"/>
  </cellStyleXfs>
  <cellXfs count="2227">
    <xf numFmtId="0" fontId="0" fillId="0" borderId="0" xfId="0"/>
    <xf numFmtId="0" fontId="0" fillId="0" borderId="0" xfId="0" applyAlignment="1">
      <alignment horizontal="left"/>
    </xf>
    <xf numFmtId="0" fontId="6" fillId="0" borderId="0" xfId="0" applyFont="1"/>
    <xf numFmtId="0" fontId="0" fillId="0" borderId="0" xfId="0" applyFill="1" applyBorder="1" applyProtection="1"/>
    <xf numFmtId="0" fontId="0" fillId="0" borderId="0" xfId="0" applyBorder="1" applyProtection="1"/>
    <xf numFmtId="49" fontId="0" fillId="0" borderId="0" xfId="0" applyNumberFormat="1" applyAlignment="1">
      <alignment horizontal="center" vertical="center"/>
    </xf>
    <xf numFmtId="0" fontId="0" fillId="0" borderId="0" xfId="0" applyBorder="1" applyAlignment="1" applyProtection="1">
      <alignment vertical="top"/>
    </xf>
    <xf numFmtId="49" fontId="0" fillId="0" borderId="0" xfId="0" applyNumberFormat="1" applyBorder="1" applyProtection="1"/>
    <xf numFmtId="49" fontId="0" fillId="0" borderId="0" xfId="0" applyNumberFormat="1" applyBorder="1" applyAlignment="1" applyProtection="1">
      <alignment vertical="top"/>
    </xf>
    <xf numFmtId="0" fontId="13" fillId="0" borderId="0" xfId="0" applyFont="1"/>
    <xf numFmtId="0" fontId="0" fillId="0" borderId="0" xfId="0" applyNumberFormat="1"/>
    <xf numFmtId="0" fontId="0" fillId="0" borderId="0" xfId="0" applyFill="1" applyBorder="1" applyAlignment="1" applyProtection="1">
      <alignment vertical="center"/>
    </xf>
    <xf numFmtId="0" fontId="12" fillId="0" borderId="0" xfId="0" applyFont="1"/>
    <xf numFmtId="0" fontId="2" fillId="0" borderId="0" xfId="0" applyFont="1" applyBorder="1" applyAlignment="1" applyProtection="1">
      <alignment vertical="center" wrapText="1"/>
    </xf>
    <xf numFmtId="0" fontId="0" fillId="0" borderId="0" xfId="0" applyAlignment="1" applyProtection="1">
      <alignment vertical="center"/>
    </xf>
    <xf numFmtId="0" fontId="2" fillId="0" borderId="0" xfId="0" applyFont="1" applyBorder="1" applyAlignment="1" applyProtection="1">
      <alignment horizontal="center" vertical="center"/>
    </xf>
    <xf numFmtId="0" fontId="0" fillId="0" borderId="0" xfId="0" applyBorder="1" applyAlignment="1" applyProtection="1">
      <alignment vertical="center"/>
    </xf>
    <xf numFmtId="0" fontId="2" fillId="0" borderId="0" xfId="0" applyFont="1" applyBorder="1" applyAlignment="1" applyProtection="1">
      <alignment vertical="center"/>
    </xf>
    <xf numFmtId="0" fontId="0" fillId="0" borderId="0" xfId="0" applyFill="1" applyBorder="1" applyAlignment="1" applyProtection="1">
      <alignment vertical="top"/>
    </xf>
    <xf numFmtId="0" fontId="0" fillId="0" borderId="0" xfId="0" applyFill="1" applyAlignment="1" applyProtection="1">
      <alignment vertical="center"/>
    </xf>
    <xf numFmtId="0" fontId="2" fillId="0" borderId="0" xfId="0" applyFont="1" applyBorder="1" applyAlignment="1" applyProtection="1">
      <alignment vertical="top" wrapText="1"/>
    </xf>
    <xf numFmtId="0" fontId="9" fillId="0" borderId="0" xfId="0" applyFont="1" applyBorder="1" applyAlignment="1" applyProtection="1">
      <alignment vertical="center" wrapText="1"/>
    </xf>
    <xf numFmtId="49" fontId="0" fillId="0" borderId="0" xfId="0" applyNumberFormat="1" applyFont="1" applyBorder="1" applyAlignment="1" applyProtection="1">
      <alignment vertical="center" wrapText="1"/>
    </xf>
    <xf numFmtId="0" fontId="23" fillId="0" borderId="0" xfId="0" applyFont="1" applyBorder="1" applyAlignment="1" applyProtection="1">
      <alignment horizontal="left" vertical="center" wrapText="1"/>
    </xf>
    <xf numFmtId="0" fontId="2" fillId="0" borderId="0" xfId="0" applyFont="1" applyFill="1" applyBorder="1" applyAlignment="1" applyProtection="1">
      <alignment vertical="center" wrapText="1"/>
    </xf>
    <xf numFmtId="0" fontId="4" fillId="0" borderId="0" xfId="0" applyFont="1" applyFill="1" applyBorder="1" applyAlignment="1" applyProtection="1">
      <alignment vertical="center"/>
    </xf>
    <xf numFmtId="0" fontId="11" fillId="0" borderId="0" xfId="0" applyFont="1" applyFill="1" applyBorder="1" applyAlignment="1" applyProtection="1">
      <alignment horizontal="right" vertical="center" wrapText="1"/>
    </xf>
    <xf numFmtId="0" fontId="11" fillId="0" borderId="0" xfId="0" applyFont="1" applyFill="1" applyBorder="1" applyAlignment="1" applyProtection="1">
      <alignment horizontal="left" vertical="center" wrapText="1"/>
    </xf>
    <xf numFmtId="0" fontId="0" fillId="0" borderId="0" xfId="0" applyFont="1" applyFill="1" applyBorder="1" applyAlignment="1" applyProtection="1">
      <alignment horizontal="right" vertical="center"/>
    </xf>
    <xf numFmtId="0" fontId="0" fillId="0" borderId="0" xfId="0" applyAlignment="1" applyProtection="1">
      <alignment horizontal="left" vertical="top"/>
    </xf>
    <xf numFmtId="0" fontId="0" fillId="0" borderId="0" xfId="0" applyFill="1" applyBorder="1" applyAlignment="1" applyProtection="1">
      <alignment horizontal="left" vertical="top"/>
    </xf>
    <xf numFmtId="0" fontId="4" fillId="0" borderId="0" xfId="0" applyFont="1" applyFill="1" applyBorder="1" applyAlignment="1" applyProtection="1">
      <alignment horizontal="left" vertical="top"/>
    </xf>
    <xf numFmtId="0" fontId="0" fillId="0" borderId="0" xfId="0" applyFill="1" applyAlignment="1" applyProtection="1">
      <alignment horizontal="left" vertical="top"/>
    </xf>
    <xf numFmtId="49" fontId="0" fillId="0" borderId="0" xfId="0" applyNumberFormat="1" applyFont="1" applyBorder="1" applyAlignment="1" applyProtection="1">
      <alignment horizontal="left" vertical="top"/>
    </xf>
    <xf numFmtId="0" fontId="0" fillId="0" borderId="0" xfId="0" applyFont="1" applyFill="1" applyBorder="1" applyAlignment="1" applyProtection="1">
      <alignment horizontal="left" vertical="top"/>
    </xf>
    <xf numFmtId="0" fontId="0" fillId="0" borderId="0" xfId="0" applyFont="1" applyBorder="1" applyAlignment="1" applyProtection="1">
      <alignment horizontal="left" vertical="top"/>
    </xf>
    <xf numFmtId="0" fontId="0" fillId="0" borderId="0" xfId="0" applyFont="1" applyAlignment="1" applyProtection="1">
      <alignment horizontal="left" vertical="top"/>
    </xf>
    <xf numFmtId="0" fontId="0" fillId="0" borderId="0" xfId="0" applyFont="1" applyFill="1" applyAlignment="1" applyProtection="1">
      <alignment horizontal="left" vertical="top"/>
    </xf>
    <xf numFmtId="0" fontId="9" fillId="0" borderId="0" xfId="0" applyFont="1" applyFill="1" applyBorder="1" applyAlignment="1" applyProtection="1">
      <alignment horizontal="left" vertical="top" wrapText="1"/>
    </xf>
    <xf numFmtId="0" fontId="2" fillId="0" borderId="0" xfId="0" applyFont="1" applyAlignment="1" applyProtection="1">
      <alignment horizontal="left" vertical="top"/>
    </xf>
    <xf numFmtId="0" fontId="9" fillId="0" borderId="0" xfId="0" applyFont="1" applyBorder="1" applyAlignment="1" applyProtection="1">
      <alignment horizontal="left" vertical="top"/>
    </xf>
    <xf numFmtId="0" fontId="9" fillId="0" borderId="0" xfId="0" applyFont="1" applyBorder="1" applyAlignment="1" applyProtection="1">
      <alignment horizontal="center" vertical="center" wrapText="1"/>
    </xf>
    <xf numFmtId="0" fontId="0" fillId="0" borderId="0" xfId="0" applyProtection="1"/>
    <xf numFmtId="0" fontId="4" fillId="0" borderId="0" xfId="0" applyFont="1" applyFill="1" applyBorder="1" applyProtection="1"/>
    <xf numFmtId="0" fontId="0" fillId="0" borderId="0" xfId="0" applyFill="1" applyBorder="1" applyAlignment="1" applyProtection="1">
      <alignment horizontal="left" wrapText="1"/>
    </xf>
    <xf numFmtId="0" fontId="0" fillId="0" borderId="0" xfId="0" applyFill="1" applyProtection="1"/>
    <xf numFmtId="0" fontId="2" fillId="0" borderId="0" xfId="0" applyFont="1" applyBorder="1" applyProtection="1"/>
    <xf numFmtId="0" fontId="2" fillId="0" borderId="7" xfId="0" applyFont="1" applyBorder="1" applyProtection="1"/>
    <xf numFmtId="0" fontId="2" fillId="0" borderId="7" xfId="0" applyFont="1" applyBorder="1" applyAlignment="1" applyProtection="1">
      <alignment horizontal="center"/>
    </xf>
    <xf numFmtId="0" fontId="12" fillId="2" borderId="7" xfId="0" applyFont="1" applyFill="1" applyBorder="1" applyAlignment="1" applyProtection="1">
      <alignment vertical="center"/>
      <protection locked="0"/>
    </xf>
    <xf numFmtId="0" fontId="12" fillId="2" borderId="7" xfId="0" applyFont="1" applyFill="1" applyBorder="1" applyAlignment="1" applyProtection="1">
      <alignment vertical="center" wrapText="1"/>
      <protection locked="0"/>
    </xf>
    <xf numFmtId="0" fontId="0" fillId="0" borderId="0" xfId="0" applyBorder="1" applyAlignment="1" applyProtection="1">
      <alignment horizontal="center" wrapText="1"/>
    </xf>
    <xf numFmtId="0" fontId="12" fillId="0" borderId="0" xfId="0" applyFont="1" applyFill="1" applyBorder="1" applyAlignment="1" applyProtection="1">
      <alignment horizontal="left" vertical="top" wrapText="1"/>
    </xf>
    <xf numFmtId="0" fontId="9" fillId="0" borderId="0" xfId="0" applyFont="1" applyFill="1" applyBorder="1" applyAlignment="1" applyProtection="1">
      <alignment horizontal="center"/>
    </xf>
    <xf numFmtId="0" fontId="2" fillId="0" borderId="0" xfId="0" applyFont="1" applyFill="1" applyBorder="1" applyAlignment="1" applyProtection="1">
      <alignment horizontal="center" wrapText="1"/>
    </xf>
    <xf numFmtId="0" fontId="6" fillId="0" borderId="0" xfId="0" applyFont="1" applyProtection="1"/>
    <xf numFmtId="0" fontId="0" fillId="0" borderId="0" xfId="0" applyFill="1" applyBorder="1" applyAlignment="1" applyProtection="1">
      <alignment horizontal="left"/>
    </xf>
    <xf numFmtId="49" fontId="0" fillId="0" borderId="0" xfId="0" applyNumberFormat="1" applyProtection="1"/>
    <xf numFmtId="0" fontId="11" fillId="0" borderId="0" xfId="0" applyFont="1" applyBorder="1" applyAlignment="1" applyProtection="1">
      <alignment vertical="top"/>
    </xf>
    <xf numFmtId="0" fontId="6" fillId="0" borderId="0" xfId="0" applyFont="1" applyFill="1" applyBorder="1" applyAlignment="1" applyProtection="1">
      <alignment horizontal="left" indent="1"/>
    </xf>
    <xf numFmtId="0" fontId="4" fillId="0" borderId="0" xfId="0" applyFont="1" applyFill="1" applyBorder="1" applyAlignment="1" applyProtection="1">
      <alignment horizontal="left" indent="1"/>
    </xf>
    <xf numFmtId="0" fontId="12" fillId="0" borderId="0" xfId="0" applyFont="1" applyFill="1" applyBorder="1" applyAlignment="1" applyProtection="1">
      <alignment horizontal="left" vertical="top"/>
    </xf>
    <xf numFmtId="8" fontId="12" fillId="0" borderId="0" xfId="1" applyNumberFormat="1" applyFont="1" applyFill="1" applyBorder="1" applyAlignment="1" applyProtection="1">
      <alignment horizontal="left" vertical="top"/>
    </xf>
    <xf numFmtId="0" fontId="4" fillId="0" borderId="7" xfId="0" applyFont="1" applyFill="1" applyBorder="1" applyAlignment="1" applyProtection="1">
      <alignment horizontal="center" vertical="top" wrapText="1"/>
    </xf>
    <xf numFmtId="0" fontId="4" fillId="0" borderId="0" xfId="0" applyFont="1" applyProtection="1"/>
    <xf numFmtId="0" fontId="6" fillId="0" borderId="0" xfId="0" applyFont="1" applyBorder="1" applyProtection="1"/>
    <xf numFmtId="0" fontId="5" fillId="0" borderId="0" xfId="0" applyFont="1" applyFill="1" applyBorder="1" applyAlignment="1" applyProtection="1">
      <alignment horizontal="left" wrapText="1"/>
    </xf>
    <xf numFmtId="49" fontId="0" fillId="0" borderId="0" xfId="0" applyNumberFormat="1" applyAlignment="1" applyProtection="1">
      <alignment vertical="top"/>
    </xf>
    <xf numFmtId="1" fontId="0" fillId="0" borderId="0" xfId="0" applyNumberFormat="1" applyFill="1" applyBorder="1" applyAlignment="1" applyProtection="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0" xfId="0" applyFont="1" applyFill="1" applyBorder="1" applyAlignment="1" applyProtection="1">
      <alignment vertical="center"/>
    </xf>
    <xf numFmtId="0" fontId="0" fillId="0" borderId="0" xfId="0" applyFont="1" applyFill="1" applyBorder="1" applyAlignment="1" applyProtection="1">
      <alignment horizontal="left" vertical="top" wrapText="1" indent="2"/>
    </xf>
    <xf numFmtId="0" fontId="2" fillId="0" borderId="0" xfId="0" applyFont="1" applyBorder="1" applyAlignment="1" applyProtection="1">
      <alignment horizontal="center" vertical="center" wrapText="1"/>
    </xf>
    <xf numFmtId="0" fontId="12" fillId="0" borderId="0" xfId="0" applyFont="1" applyFill="1" applyBorder="1" applyAlignment="1" applyProtection="1">
      <alignment horizontal="left" vertical="center" wrapText="1"/>
    </xf>
    <xf numFmtId="0" fontId="0" fillId="0" borderId="0" xfId="0" applyBorder="1" applyAlignment="1" applyProtection="1">
      <alignment horizontal="right"/>
    </xf>
    <xf numFmtId="0" fontId="12" fillId="0" borderId="0" xfId="0" applyFont="1" applyBorder="1" applyProtection="1"/>
    <xf numFmtId="0" fontId="21" fillId="0" borderId="0" xfId="0" applyFont="1" applyFill="1" applyBorder="1" applyAlignment="1" applyProtection="1">
      <alignment vertical="center" wrapText="1"/>
    </xf>
    <xf numFmtId="0" fontId="19" fillId="0" borderId="7" xfId="0" applyFont="1" applyBorder="1" applyAlignment="1" applyProtection="1">
      <alignment horizontal="left" vertical="center" wrapText="1"/>
    </xf>
    <xf numFmtId="0" fontId="10" fillId="0" borderId="7" xfId="0" applyFont="1" applyBorder="1" applyAlignment="1" applyProtection="1">
      <alignment horizontal="left" vertical="center" wrapText="1"/>
    </xf>
    <xf numFmtId="0" fontId="11" fillId="0" borderId="0" xfId="0" applyFont="1" applyBorder="1" applyAlignment="1" applyProtection="1">
      <alignment vertical="center"/>
    </xf>
    <xf numFmtId="49" fontId="0" fillId="0" borderId="0" xfId="0" applyNumberFormat="1" applyBorder="1" applyAlignment="1" applyProtection="1">
      <alignment horizontal="left" vertical="top" wrapText="1"/>
    </xf>
    <xf numFmtId="0" fontId="2" fillId="0" borderId="7" xfId="0" applyFont="1" applyBorder="1" applyAlignment="1" applyProtection="1">
      <alignment horizontal="center" wrapText="1"/>
    </xf>
    <xf numFmtId="0" fontId="6" fillId="0" borderId="0" xfId="0" applyFont="1" applyFill="1" applyProtection="1"/>
    <xf numFmtId="0" fontId="0" fillId="0" borderId="0" xfId="0" applyFill="1" applyBorder="1" applyAlignment="1" applyProtection="1">
      <alignment horizontal="left" vertical="top" wrapText="1"/>
    </xf>
    <xf numFmtId="0" fontId="0" fillId="0" borderId="0" xfId="0" applyFill="1" applyBorder="1" applyAlignment="1">
      <alignment vertical="top" wrapText="1"/>
    </xf>
    <xf numFmtId="0" fontId="11" fillId="0" borderId="0" xfId="0" applyFont="1" applyFill="1" applyBorder="1" applyAlignment="1" applyProtection="1">
      <alignment vertical="top" wrapText="1"/>
    </xf>
    <xf numFmtId="0" fontId="0" fillId="0" borderId="0" xfId="0" applyAlignment="1">
      <alignment vertical="top"/>
    </xf>
    <xf numFmtId="49" fontId="0" fillId="0" borderId="0" xfId="0" applyNumberFormat="1" applyAlignment="1">
      <alignment vertical="top"/>
    </xf>
    <xf numFmtId="0" fontId="0" fillId="0" borderId="0" xfId="0" applyBorder="1" applyAlignment="1" applyProtection="1">
      <alignment vertical="center" wrapText="1"/>
    </xf>
    <xf numFmtId="0" fontId="0" fillId="0" borderId="0" xfId="0" applyAlignment="1">
      <alignment horizontal="left" vertical="center"/>
    </xf>
    <xf numFmtId="0" fontId="12" fillId="0" borderId="0" xfId="0" applyFont="1" applyFill="1" applyBorder="1" applyAlignment="1" applyProtection="1">
      <alignment horizontal="center" vertical="center"/>
    </xf>
    <xf numFmtId="0" fontId="0" fillId="0" borderId="0" xfId="0" applyFont="1" applyFill="1" applyBorder="1" applyAlignment="1" applyProtection="1">
      <alignment vertical="center" wrapText="1"/>
    </xf>
    <xf numFmtId="0" fontId="0" fillId="0" borderId="0" xfId="0" applyFont="1" applyFill="1" applyAlignment="1" applyProtection="1">
      <alignment vertical="center"/>
    </xf>
    <xf numFmtId="0" fontId="15" fillId="0" borderId="0" xfId="0" applyFont="1" applyFill="1" applyBorder="1" applyAlignment="1" applyProtection="1">
      <alignment vertical="center"/>
    </xf>
    <xf numFmtId="0" fontId="6" fillId="0" borderId="0" xfId="0" applyFont="1" applyFill="1" applyBorder="1" applyProtection="1"/>
    <xf numFmtId="0" fontId="0" fillId="0" borderId="7" xfId="0" applyBorder="1" applyAlignment="1" applyProtection="1">
      <alignment horizontal="center" wrapText="1"/>
    </xf>
    <xf numFmtId="0" fontId="18" fillId="0" borderId="0"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0" fillId="0" borderId="0" xfId="0" applyFont="1" applyFill="1" applyBorder="1" applyAlignment="1" applyProtection="1">
      <alignment horizontal="left" vertical="center" wrapText="1"/>
    </xf>
    <xf numFmtId="0" fontId="12" fillId="6" borderId="17" xfId="0" applyFont="1" applyFill="1" applyBorder="1" applyAlignment="1">
      <alignment horizontal="center" vertical="center"/>
    </xf>
    <xf numFmtId="0" fontId="12" fillId="6" borderId="18" xfId="0" applyFont="1" applyFill="1" applyBorder="1" applyAlignment="1">
      <alignment horizontal="center" vertical="center"/>
    </xf>
    <xf numFmtId="0" fontId="0" fillId="7" borderId="17" xfId="0" applyFill="1" applyBorder="1" applyAlignment="1">
      <alignment vertical="center"/>
    </xf>
    <xf numFmtId="0" fontId="0" fillId="7" borderId="17" xfId="0" applyFill="1" applyBorder="1" applyAlignment="1">
      <alignment horizontal="center" vertical="center"/>
    </xf>
    <xf numFmtId="0" fontId="0" fillId="7" borderId="18" xfId="0" applyFill="1" applyBorder="1" applyAlignment="1">
      <alignment vertical="center"/>
    </xf>
    <xf numFmtId="0" fontId="6" fillId="0" borderId="7" xfId="0" applyFont="1" applyBorder="1" applyAlignment="1">
      <alignment horizontal="center"/>
    </xf>
    <xf numFmtId="0" fontId="0" fillId="0" borderId="0" xfId="0" applyAlignment="1">
      <alignment vertical="center"/>
    </xf>
    <xf numFmtId="0" fontId="0" fillId="0" borderId="0" xfId="0" applyBorder="1" applyAlignment="1">
      <alignment vertical="center"/>
    </xf>
    <xf numFmtId="49" fontId="0" fillId="0" borderId="0" xfId="0" applyNumberFormat="1" applyBorder="1" applyAlignment="1" applyProtection="1">
      <alignment horizontal="left" vertical="center"/>
    </xf>
    <xf numFmtId="0" fontId="4" fillId="7" borderId="0" xfId="0" applyFont="1" applyFill="1" applyAlignment="1">
      <alignment vertical="center"/>
    </xf>
    <xf numFmtId="0" fontId="0" fillId="7" borderId="0" xfId="0" applyFill="1" applyAlignment="1">
      <alignment vertical="center"/>
    </xf>
    <xf numFmtId="0" fontId="6" fillId="0" borderId="7" xfId="0" applyFont="1" applyBorder="1"/>
    <xf numFmtId="0" fontId="0" fillId="0" borderId="19" xfId="0" applyBorder="1" applyAlignment="1">
      <alignment horizontal="left" vertical="center"/>
    </xf>
    <xf numFmtId="0" fontId="0" fillId="0" borderId="18" xfId="0" applyBorder="1" applyAlignment="1">
      <alignment horizontal="left" vertical="center"/>
    </xf>
    <xf numFmtId="0" fontId="2" fillId="7" borderId="17" xfId="0" applyFont="1" applyFill="1" applyBorder="1" applyAlignment="1">
      <alignment vertical="center"/>
    </xf>
    <xf numFmtId="49" fontId="2" fillId="0" borderId="0" xfId="0" applyNumberFormat="1" applyFont="1" applyBorder="1" applyAlignment="1" applyProtection="1">
      <alignment horizontal="left" vertical="top" wrapText="1"/>
    </xf>
    <xf numFmtId="0" fontId="27" fillId="0" borderId="0" xfId="0" applyFont="1" applyBorder="1" applyAlignment="1" applyProtection="1">
      <alignment horizontal="left" vertical="center" wrapText="1"/>
    </xf>
    <xf numFmtId="0" fontId="27" fillId="0" borderId="0" xfId="0" applyFont="1" applyFill="1" applyBorder="1" applyAlignment="1" applyProtection="1">
      <alignment horizontal="left" vertical="center" wrapText="1"/>
    </xf>
    <xf numFmtId="0" fontId="27" fillId="0" borderId="0" xfId="0" applyFont="1" applyFill="1" applyBorder="1" applyAlignment="1" applyProtection="1">
      <alignment vertical="center"/>
    </xf>
    <xf numFmtId="49" fontId="2" fillId="0" borderId="0" xfId="0" applyNumberFormat="1" applyFont="1" applyFill="1" applyBorder="1" applyAlignment="1" applyProtection="1">
      <alignment horizontal="left" vertical="top" wrapText="1"/>
    </xf>
    <xf numFmtId="0" fontId="26" fillId="0" borderId="0" xfId="0" applyFont="1" applyFill="1" applyBorder="1" applyAlignment="1" applyProtection="1">
      <alignment horizontal="left" vertical="center"/>
    </xf>
    <xf numFmtId="0" fontId="27" fillId="0" borderId="0" xfId="0" applyFont="1" applyFill="1" applyBorder="1" applyAlignment="1" applyProtection="1">
      <alignment horizontal="left" vertical="center"/>
    </xf>
    <xf numFmtId="0" fontId="26" fillId="0" borderId="0" xfId="0" applyFont="1" applyBorder="1" applyAlignment="1" applyProtection="1">
      <alignment horizontal="left" vertical="center"/>
    </xf>
    <xf numFmtId="0" fontId="26" fillId="0" borderId="0" xfId="0" applyFont="1" applyFill="1" applyBorder="1" applyAlignment="1" applyProtection="1">
      <alignment vertical="center"/>
    </xf>
    <xf numFmtId="0" fontId="26" fillId="0" borderId="0" xfId="0" applyFont="1" applyBorder="1" applyAlignment="1" applyProtection="1">
      <alignment horizontal="left" vertical="center" wrapText="1"/>
    </xf>
    <xf numFmtId="0" fontId="26" fillId="0" borderId="0" xfId="0" applyFont="1" applyFill="1" applyBorder="1" applyAlignment="1" applyProtection="1">
      <alignment horizontal="left" vertical="center" wrapText="1"/>
    </xf>
    <xf numFmtId="0" fontId="27" fillId="0" borderId="0" xfId="0" applyFont="1" applyFill="1" applyBorder="1" applyAlignment="1" applyProtection="1">
      <alignment vertical="center" wrapText="1"/>
    </xf>
    <xf numFmtId="0" fontId="2" fillId="0" borderId="0" xfId="0" quotePrefix="1" applyFont="1" applyBorder="1" applyAlignment="1" applyProtection="1">
      <alignment horizontal="left" vertical="top"/>
    </xf>
    <xf numFmtId="0" fontId="2" fillId="0" borderId="0" xfId="0" quotePrefix="1" applyFont="1" applyBorder="1" applyAlignment="1" applyProtection="1">
      <alignment horizontal="left" vertical="center"/>
    </xf>
    <xf numFmtId="0" fontId="2" fillId="0" borderId="0" xfId="0" quotePrefix="1" applyFont="1" applyAlignment="1">
      <alignment horizontal="left" vertical="top" wrapText="1"/>
    </xf>
    <xf numFmtId="0" fontId="2" fillId="0" borderId="0" xfId="0" quotePrefix="1" applyFont="1" applyAlignment="1">
      <alignment vertical="top" wrapText="1"/>
    </xf>
    <xf numFmtId="49" fontId="2" fillId="0" borderId="0" xfId="0" applyNumberFormat="1" applyFont="1" applyBorder="1" applyAlignment="1" applyProtection="1">
      <alignment vertical="top"/>
    </xf>
    <xf numFmtId="0" fontId="2" fillId="0" borderId="0" xfId="0" quotePrefix="1" applyFont="1" applyFill="1" applyBorder="1" applyAlignment="1" applyProtection="1">
      <alignment vertical="top" wrapText="1"/>
    </xf>
    <xf numFmtId="0" fontId="2" fillId="0" borderId="0" xfId="0" quotePrefix="1" applyFont="1" applyBorder="1" applyAlignment="1" applyProtection="1">
      <alignment horizontal="left" vertical="top" wrapText="1"/>
    </xf>
    <xf numFmtId="49" fontId="2" fillId="0" borderId="0" xfId="0" applyNumberFormat="1" applyFont="1" applyBorder="1" applyAlignment="1" applyProtection="1">
      <alignment horizontal="left" vertical="center"/>
    </xf>
    <xf numFmtId="0" fontId="0" fillId="0" borderId="0" xfId="0" applyAlignment="1">
      <alignment horizontal="right" vertical="center"/>
    </xf>
    <xf numFmtId="0" fontId="0" fillId="0" borderId="0" xfId="0" applyFill="1" applyBorder="1" applyAlignment="1">
      <alignment horizontal="right" vertical="center" wrapText="1"/>
    </xf>
    <xf numFmtId="0" fontId="26" fillId="0" borderId="0" xfId="0" applyFont="1" applyBorder="1" applyAlignment="1" applyProtection="1">
      <alignment horizontal="right" vertical="center"/>
    </xf>
    <xf numFmtId="0" fontId="26" fillId="0" borderId="0" xfId="0" applyFont="1" applyBorder="1" applyAlignment="1" applyProtection="1">
      <alignment horizontal="right" vertical="center" wrapText="1"/>
    </xf>
    <xf numFmtId="0" fontId="0" fillId="0" borderId="0" xfId="0" applyFont="1" applyFill="1" applyBorder="1" applyAlignment="1" applyProtection="1">
      <alignment horizontal="left" vertical="top" wrapText="1"/>
    </xf>
    <xf numFmtId="0" fontId="0" fillId="0" borderId="0" xfId="0" applyFont="1" applyBorder="1" applyAlignment="1" applyProtection="1">
      <alignment horizontal="left" vertical="center" wrapText="1"/>
    </xf>
    <xf numFmtId="0" fontId="0" fillId="0" borderId="0" xfId="0" applyBorder="1" applyAlignment="1" applyProtection="1">
      <alignment horizontal="left" vertical="top" wrapText="1"/>
    </xf>
    <xf numFmtId="0" fontId="0" fillId="0" borderId="0" xfId="0" applyBorder="1" applyAlignment="1" applyProtection="1">
      <alignment horizontal="left" vertical="top"/>
    </xf>
    <xf numFmtId="0" fontId="12" fillId="2" borderId="8" xfId="0" applyFont="1" applyFill="1" applyBorder="1" applyAlignment="1" applyProtection="1">
      <alignment horizontal="left" vertical="center"/>
      <protection locked="0"/>
    </xf>
    <xf numFmtId="0" fontId="0" fillId="0" borderId="0" xfId="0" applyFill="1" applyBorder="1" applyAlignment="1" applyProtection="1">
      <alignment horizontal="center" vertical="center"/>
    </xf>
    <xf numFmtId="0" fontId="0" fillId="0" borderId="0" xfId="0" applyFill="1" applyBorder="1" applyAlignment="1" applyProtection="1">
      <alignment horizontal="left" vertical="center"/>
    </xf>
    <xf numFmtId="0" fontId="10" fillId="0" borderId="0" xfId="0" applyFont="1" applyFill="1" applyBorder="1" applyAlignment="1" applyProtection="1">
      <alignment horizontal="left" vertical="center" wrapText="1"/>
    </xf>
    <xf numFmtId="0" fontId="0" fillId="0" borderId="0" xfId="0" applyBorder="1" applyAlignment="1" applyProtection="1">
      <alignment horizontal="left" vertical="center" wrapText="1"/>
    </xf>
    <xf numFmtId="0" fontId="2" fillId="0" borderId="0" xfId="0" applyFont="1" applyBorder="1" applyAlignment="1" applyProtection="1">
      <alignment horizontal="left" vertical="top"/>
    </xf>
    <xf numFmtId="0" fontId="2" fillId="0" borderId="0" xfId="0" applyFont="1" applyBorder="1" applyAlignment="1" applyProtection="1">
      <alignment horizontal="left" vertical="center"/>
    </xf>
    <xf numFmtId="0" fontId="2" fillId="0" borderId="7" xfId="0" applyFont="1" applyBorder="1" applyAlignment="1" applyProtection="1">
      <alignment horizontal="left" vertical="center" wrapText="1"/>
    </xf>
    <xf numFmtId="0" fontId="0" fillId="0" borderId="0" xfId="0" applyBorder="1" applyAlignment="1" applyProtection="1">
      <alignment horizontal="left"/>
    </xf>
    <xf numFmtId="0" fontId="2" fillId="0" borderId="7" xfId="0" applyFont="1" applyBorder="1" applyAlignment="1" applyProtection="1">
      <alignment horizontal="center" vertical="center" wrapText="1"/>
    </xf>
    <xf numFmtId="0" fontId="0" fillId="0" borderId="0" xfId="0" applyBorder="1" applyAlignment="1" applyProtection="1">
      <alignment horizontal="left" vertical="center"/>
    </xf>
    <xf numFmtId="0" fontId="0" fillId="0" borderId="0" xfId="0" applyBorder="1" applyAlignment="1" applyProtection="1">
      <alignment vertical="top" wrapText="1"/>
    </xf>
    <xf numFmtId="0" fontId="2" fillId="9" borderId="9" xfId="0" applyFont="1" applyFill="1" applyBorder="1"/>
    <xf numFmtId="0" fontId="2" fillId="9" borderId="7" xfId="0" applyFont="1" applyFill="1" applyBorder="1" applyAlignment="1">
      <alignment wrapText="1"/>
    </xf>
    <xf numFmtId="0" fontId="0" fillId="0" borderId="0" xfId="0" applyBorder="1" applyAlignment="1" applyProtection="1">
      <alignment horizontal="left" vertical="top" wrapText="1"/>
    </xf>
    <xf numFmtId="0" fontId="0" fillId="0" borderId="0" xfId="0" applyBorder="1" applyAlignment="1" applyProtection="1">
      <alignment horizontal="left" vertical="top"/>
    </xf>
    <xf numFmtId="0" fontId="0" fillId="0" borderId="0" xfId="0" applyBorder="1" applyAlignment="1" applyProtection="1">
      <alignment horizontal="left"/>
    </xf>
    <xf numFmtId="0" fontId="0" fillId="0" borderId="0" xfId="0" applyBorder="1" applyAlignment="1" applyProtection="1"/>
    <xf numFmtId="0" fontId="0" fillId="0" borderId="0" xfId="0" applyBorder="1" applyAlignment="1" applyProtection="1">
      <alignment horizontal="left" vertical="center"/>
    </xf>
    <xf numFmtId="0" fontId="12" fillId="8" borderId="0" xfId="0" applyFont="1" applyFill="1" applyBorder="1" applyAlignment="1" applyProtection="1">
      <alignment horizontal="left" vertical="center" wrapText="1"/>
    </xf>
    <xf numFmtId="0" fontId="0" fillId="7" borderId="0" xfId="0" applyFill="1"/>
    <xf numFmtId="0" fontId="2" fillId="0" borderId="0" xfId="0" applyFont="1" applyBorder="1" applyAlignment="1" applyProtection="1">
      <alignment horizontal="right" vertical="top" wrapText="1"/>
    </xf>
    <xf numFmtId="0" fontId="0" fillId="0" borderId="0" xfId="0" applyAlignment="1">
      <alignment horizontal="center" vertical="center"/>
    </xf>
    <xf numFmtId="0" fontId="28" fillId="0" borderId="0" xfId="0" applyFont="1" applyAlignment="1">
      <alignment horizontal="center" vertical="center"/>
    </xf>
    <xf numFmtId="0" fontId="29" fillId="0" borderId="0" xfId="0" applyFont="1"/>
    <xf numFmtId="0" fontId="2" fillId="0" borderId="0" xfId="0" applyFont="1" applyAlignment="1">
      <alignment horizontal="center" vertical="center"/>
    </xf>
    <xf numFmtId="0" fontId="0" fillId="0" borderId="0" xfId="0" applyBorder="1" applyAlignment="1" applyProtection="1">
      <alignment vertical="top" wrapText="1"/>
    </xf>
    <xf numFmtId="0" fontId="2" fillId="0" borderId="0" xfId="0" quotePrefix="1" applyFont="1" applyBorder="1" applyAlignment="1" applyProtection="1">
      <alignment vertical="top" wrapText="1"/>
    </xf>
    <xf numFmtId="49" fontId="2" fillId="0" borderId="0" xfId="0" applyNumberFormat="1" applyFont="1" applyBorder="1" applyProtection="1"/>
    <xf numFmtId="0" fontId="2" fillId="0" borderId="0" xfId="0" applyFont="1" applyBorder="1" applyAlignment="1" applyProtection="1">
      <alignment vertical="top"/>
    </xf>
    <xf numFmtId="49" fontId="2" fillId="0" borderId="0" xfId="0" applyNumberFormat="1" applyFont="1" applyBorder="1" applyAlignment="1" applyProtection="1">
      <alignment horizontal="left" vertical="top"/>
    </xf>
    <xf numFmtId="0" fontId="0" fillId="0" borderId="0" xfId="0" applyBorder="1" applyAlignment="1" applyProtection="1">
      <alignment vertical="top"/>
    </xf>
    <xf numFmtId="0" fontId="11" fillId="0" borderId="0" xfId="0" applyFont="1" applyBorder="1" applyAlignment="1" applyProtection="1">
      <alignment horizontal="left" vertical="center"/>
    </xf>
    <xf numFmtId="0" fontId="4" fillId="0" borderId="0" xfId="0" applyFont="1" applyFill="1" applyBorder="1" applyAlignment="1" applyProtection="1">
      <alignment horizontal="left" vertical="center"/>
    </xf>
    <xf numFmtId="166" fontId="2" fillId="0" borderId="0" xfId="0" applyNumberFormat="1" applyFont="1" applyBorder="1" applyAlignment="1" applyProtection="1">
      <alignment vertical="top"/>
    </xf>
    <xf numFmtId="167" fontId="2" fillId="0" borderId="0" xfId="0" applyNumberFormat="1" applyFont="1" applyBorder="1" applyAlignment="1" applyProtection="1">
      <alignment horizontal="left" vertical="top"/>
    </xf>
    <xf numFmtId="166" fontId="2" fillId="0" borderId="0" xfId="0" applyNumberFormat="1" applyFont="1" applyBorder="1" applyAlignment="1" applyProtection="1">
      <alignment horizontal="left" vertical="top"/>
    </xf>
    <xf numFmtId="168" fontId="2" fillId="0" borderId="0" xfId="0" applyNumberFormat="1" applyFont="1" applyBorder="1" applyAlignment="1" applyProtection="1">
      <alignment horizontal="left" vertical="top"/>
    </xf>
    <xf numFmtId="166" fontId="2" fillId="0" borderId="0" xfId="0" applyNumberFormat="1" applyFont="1" applyBorder="1" applyProtection="1"/>
    <xf numFmtId="0" fontId="0" fillId="0" borderId="0" xfId="0" applyFont="1" applyBorder="1" applyAlignment="1" applyProtection="1">
      <alignment horizontal="left" vertical="center"/>
    </xf>
    <xf numFmtId="0" fontId="3" fillId="0" borderId="0" xfId="0" applyFont="1" applyBorder="1" applyAlignment="1" applyProtection="1">
      <alignment vertical="center"/>
    </xf>
    <xf numFmtId="0" fontId="2" fillId="0" borderId="7" xfId="0" applyFont="1" applyBorder="1" applyAlignment="1" applyProtection="1">
      <alignment vertical="center"/>
    </xf>
    <xf numFmtId="0" fontId="2" fillId="0" borderId="7" xfId="0" applyFont="1" applyBorder="1" applyAlignment="1" applyProtection="1">
      <alignment vertical="center" wrapText="1"/>
    </xf>
    <xf numFmtId="0" fontId="2" fillId="0" borderId="0" xfId="0" applyFont="1" applyBorder="1" applyAlignment="1" applyProtection="1">
      <alignment horizontal="left" vertical="center" wrapText="1"/>
    </xf>
    <xf numFmtId="0" fontId="0" fillId="2" borderId="0" xfId="0" applyFont="1" applyFill="1" applyBorder="1" applyAlignment="1" applyProtection="1">
      <alignment horizontal="center" vertical="center"/>
    </xf>
    <xf numFmtId="0" fontId="0" fillId="2" borderId="0" xfId="0" applyFont="1" applyFill="1" applyBorder="1" applyProtection="1"/>
    <xf numFmtId="0" fontId="2" fillId="0" borderId="0" xfId="0" applyFont="1" applyBorder="1" applyAlignment="1" applyProtection="1">
      <alignment horizontal="left" wrapText="1"/>
    </xf>
    <xf numFmtId="0" fontId="15" fillId="0" borderId="0" xfId="0" applyFont="1" applyFill="1" applyBorder="1" applyAlignment="1" applyProtection="1">
      <alignment horizontal="center" vertical="center" wrapText="1"/>
    </xf>
    <xf numFmtId="0" fontId="0" fillId="0" borderId="0" xfId="0" applyBorder="1" applyAlignment="1" applyProtection="1">
      <alignment horizontal="left" vertical="top"/>
    </xf>
    <xf numFmtId="0" fontId="0" fillId="0" borderId="0" xfId="0" applyBorder="1" applyAlignment="1" applyProtection="1">
      <alignment horizontal="left" vertical="center"/>
    </xf>
    <xf numFmtId="0" fontId="0" fillId="0" borderId="0" xfId="0" applyBorder="1" applyAlignment="1" applyProtection="1">
      <alignment vertical="top"/>
    </xf>
    <xf numFmtId="0" fontId="0" fillId="0" borderId="0" xfId="0" applyAlignment="1">
      <alignment horizontal="left" vertical="center" wrapText="1"/>
    </xf>
    <xf numFmtId="0" fontId="0" fillId="0" borderId="0" xfId="0" applyBorder="1" applyAlignment="1" applyProtection="1">
      <alignment horizontal="right" vertical="center"/>
    </xf>
    <xf numFmtId="0" fontId="0" fillId="0" borderId="20" xfId="0" applyBorder="1" applyAlignment="1" applyProtection="1">
      <alignment horizontal="center" vertical="center"/>
    </xf>
    <xf numFmtId="6" fontId="0" fillId="0" borderId="20" xfId="0" applyNumberFormat="1" applyBorder="1" applyAlignment="1" applyProtection="1">
      <alignment horizontal="center" vertical="center"/>
    </xf>
    <xf numFmtId="0" fontId="0" fillId="0" borderId="21" xfId="0" applyBorder="1" applyAlignment="1" applyProtection="1">
      <alignment horizontal="center" vertical="center"/>
    </xf>
    <xf numFmtId="6" fontId="0" fillId="0" borderId="21" xfId="0" applyNumberFormat="1" applyBorder="1" applyAlignment="1" applyProtection="1">
      <alignment horizontal="center" vertical="center"/>
    </xf>
    <xf numFmtId="0" fontId="0" fillId="0" borderId="21" xfId="0" applyFill="1" applyBorder="1" applyAlignment="1" applyProtection="1">
      <alignment horizontal="center" vertical="center"/>
    </xf>
    <xf numFmtId="6" fontId="0" fillId="0" borderId="20" xfId="0" applyNumberFormat="1" applyBorder="1" applyAlignment="1" applyProtection="1">
      <alignment horizontal="right" vertical="center" indent="1"/>
    </xf>
    <xf numFmtId="6" fontId="0" fillId="0" borderId="21" xfId="0" applyNumberFormat="1" applyBorder="1" applyAlignment="1" applyProtection="1">
      <alignment horizontal="right" vertical="center" indent="1"/>
    </xf>
    <xf numFmtId="6" fontId="0" fillId="0" borderId="7" xfId="0" applyNumberFormat="1" applyBorder="1" applyAlignment="1" applyProtection="1">
      <alignment horizontal="right" vertical="center" indent="1"/>
    </xf>
    <xf numFmtId="0" fontId="0" fillId="0" borderId="0" xfId="0" applyAlignment="1">
      <alignment horizontal="center"/>
    </xf>
    <xf numFmtId="0" fontId="33" fillId="10" borderId="0" xfId="0" applyFont="1" applyFill="1"/>
    <xf numFmtId="0" fontId="0" fillId="0" borderId="0" xfId="0" applyFill="1"/>
    <xf numFmtId="0" fontId="57" fillId="0" borderId="0" xfId="0" applyFont="1" applyAlignment="1">
      <alignment horizontal="center"/>
    </xf>
    <xf numFmtId="0" fontId="13" fillId="0" borderId="0" xfId="0" applyFont="1" applyAlignment="1">
      <alignment horizontal="left"/>
    </xf>
    <xf numFmtId="6" fontId="59" fillId="0" borderId="0" xfId="0" applyNumberFormat="1" applyFont="1" applyAlignment="1">
      <alignment vertical="center"/>
    </xf>
    <xf numFmtId="0" fontId="26" fillId="0" borderId="0" xfId="0" applyFont="1" applyAlignment="1">
      <alignment horizontal="left" vertical="center" wrapText="1"/>
    </xf>
    <xf numFmtId="0" fontId="6" fillId="0" borderId="0" xfId="0" applyFont="1" applyAlignment="1">
      <alignment horizontal="center" vertical="center"/>
    </xf>
    <xf numFmtId="0" fontId="60" fillId="0" borderId="0" xfId="0" applyFont="1" applyAlignment="1">
      <alignment horizontal="center" vertical="center"/>
    </xf>
    <xf numFmtId="0" fontId="13" fillId="0" borderId="0" xfId="0" applyFont="1" applyAlignment="1">
      <alignment horizontal="center" wrapText="1"/>
    </xf>
    <xf numFmtId="0" fontId="13" fillId="0" borderId="0" xfId="0" applyFont="1" applyAlignment="1">
      <alignment horizontal="center"/>
    </xf>
    <xf numFmtId="171" fontId="26" fillId="0" borderId="0" xfId="1" applyNumberFormat="1" applyFont="1" applyFill="1" applyAlignment="1" applyProtection="1">
      <alignment horizontal="center" vertical="center"/>
    </xf>
    <xf numFmtId="171" fontId="0" fillId="0" borderId="0" xfId="1" applyNumberFormat="1" applyFont="1" applyFill="1" applyAlignment="1">
      <alignment horizontal="center" vertical="center"/>
    </xf>
    <xf numFmtId="6" fontId="0" fillId="0" borderId="0" xfId="0" applyNumberFormat="1" applyAlignment="1">
      <alignment horizontal="center" vertical="center"/>
    </xf>
    <xf numFmtId="0" fontId="57" fillId="0" borderId="0" xfId="0" applyFont="1" applyBorder="1" applyAlignment="1">
      <alignment horizontal="center"/>
    </xf>
    <xf numFmtId="0" fontId="0" fillId="0" borderId="0" xfId="0" applyBorder="1"/>
    <xf numFmtId="0" fontId="13" fillId="0" borderId="0" xfId="0" applyFont="1" applyBorder="1" applyAlignment="1">
      <alignment horizontal="center"/>
    </xf>
    <xf numFmtId="6" fontId="0" fillId="0" borderId="0" xfId="0" applyNumberFormat="1" applyBorder="1" applyAlignment="1">
      <alignment horizontal="center" vertical="center"/>
    </xf>
    <xf numFmtId="0" fontId="0" fillId="0" borderId="0" xfId="0" applyBorder="1" applyAlignment="1">
      <alignment horizontal="center"/>
    </xf>
    <xf numFmtId="0" fontId="61" fillId="10" borderId="0" xfId="0" applyFont="1" applyFill="1" applyAlignment="1">
      <alignment horizontal="center"/>
    </xf>
    <xf numFmtId="0" fontId="4" fillId="0" borderId="0" xfId="0" applyFont="1" applyFill="1" applyProtection="1"/>
    <xf numFmtId="49" fontId="4" fillId="0" borderId="0" xfId="0" applyNumberFormat="1" applyFont="1" applyFill="1" applyProtection="1"/>
    <xf numFmtId="0" fontId="61" fillId="10" borderId="0" xfId="0" applyFont="1" applyFill="1" applyBorder="1" applyAlignment="1">
      <alignment horizontal="center"/>
    </xf>
    <xf numFmtId="0" fontId="33" fillId="10" borderId="0" xfId="0" applyFont="1" applyFill="1" applyAlignment="1">
      <alignment horizontal="center"/>
    </xf>
    <xf numFmtId="0" fontId="4" fillId="0" borderId="0" xfId="0" applyFont="1"/>
    <xf numFmtId="0" fontId="0" fillId="0" borderId="0" xfId="0" applyBorder="1" applyAlignment="1" applyProtection="1">
      <alignment vertical="top"/>
    </xf>
    <xf numFmtId="0" fontId="64" fillId="0" borderId="0" xfId="0" applyFont="1" applyFill="1"/>
    <xf numFmtId="0" fontId="4" fillId="0" borderId="0" xfId="0" applyFont="1" applyFill="1"/>
    <xf numFmtId="0" fontId="10" fillId="0" borderId="0" xfId="0" applyFont="1" applyFill="1" applyProtection="1"/>
    <xf numFmtId="166" fontId="10" fillId="0" borderId="0" xfId="0" applyNumberFormat="1" applyFont="1" applyFill="1" applyBorder="1" applyAlignment="1" applyProtection="1">
      <alignment vertical="top"/>
    </xf>
    <xf numFmtId="0" fontId="7" fillId="0" borderId="0" xfId="2"/>
    <xf numFmtId="0" fontId="7" fillId="0" borderId="0" xfId="2" applyAlignment="1">
      <alignment horizontal="left" vertical="center"/>
    </xf>
    <xf numFmtId="0" fontId="30" fillId="0" borderId="0" xfId="2" applyFont="1" applyAlignment="1">
      <alignment horizontal="left" vertical="center"/>
    </xf>
    <xf numFmtId="0" fontId="69" fillId="0" borderId="0" xfId="2" applyFont="1"/>
    <xf numFmtId="0" fontId="69" fillId="0" borderId="0" xfId="2" applyFont="1" applyAlignment="1">
      <alignment horizontal="left" vertical="center"/>
    </xf>
    <xf numFmtId="0" fontId="30" fillId="0" borderId="0" xfId="2" applyFont="1" applyAlignment="1">
      <alignment horizontal="right"/>
    </xf>
    <xf numFmtId="0" fontId="37" fillId="0" borderId="0" xfId="2" applyFont="1" applyAlignment="1">
      <alignment horizontal="right"/>
    </xf>
    <xf numFmtId="0" fontId="30" fillId="0" borderId="0" xfId="2" applyFont="1"/>
    <xf numFmtId="0" fontId="40" fillId="0" borderId="0" xfId="2" applyFont="1"/>
    <xf numFmtId="0" fontId="62" fillId="0" borderId="0" xfId="2" applyFont="1"/>
    <xf numFmtId="0" fontId="72" fillId="0" borderId="0" xfId="2" applyFont="1"/>
    <xf numFmtId="0" fontId="7" fillId="0" borderId="0" xfId="2" quotePrefix="1"/>
    <xf numFmtId="0" fontId="7" fillId="0" borderId="0" xfId="2" applyAlignment="1">
      <alignment horizontal="center" vertical="center"/>
    </xf>
    <xf numFmtId="0" fontId="74" fillId="0" borderId="0" xfId="2" applyFont="1" applyAlignment="1">
      <alignment horizontal="right"/>
    </xf>
    <xf numFmtId="0" fontId="36" fillId="0" borderId="0" xfId="2" applyFont="1"/>
    <xf numFmtId="0" fontId="32" fillId="0" borderId="0" xfId="2" applyFont="1"/>
    <xf numFmtId="0" fontId="75" fillId="0" borderId="0" xfId="2" applyFont="1" applyAlignment="1">
      <alignment horizontal="right"/>
    </xf>
    <xf numFmtId="0" fontId="35" fillId="0" borderId="0" xfId="2" applyFont="1"/>
    <xf numFmtId="0" fontId="7" fillId="0" borderId="27" xfId="2" applyBorder="1"/>
    <xf numFmtId="0" fontId="62" fillId="0" borderId="0" xfId="2" applyFont="1" applyAlignment="1">
      <alignment horizontal="center" vertical="center"/>
    </xf>
    <xf numFmtId="0" fontId="7" fillId="0" borderId="0" xfId="2" applyAlignment="1">
      <alignment horizontal="center"/>
    </xf>
    <xf numFmtId="0" fontId="73" fillId="0" borderId="0" xfId="2" applyFont="1"/>
    <xf numFmtId="0" fontId="78" fillId="0" borderId="0" xfId="2" applyFont="1"/>
    <xf numFmtId="0" fontId="81" fillId="0" borderId="0" xfId="2" applyFont="1" applyAlignment="1">
      <alignment horizontal="center"/>
    </xf>
    <xf numFmtId="0" fontId="82" fillId="0" borderId="0" xfId="2" applyFont="1"/>
    <xf numFmtId="0" fontId="83" fillId="0" borderId="0" xfId="2" applyFont="1" applyAlignment="1">
      <alignment horizontal="left" vertical="center"/>
    </xf>
    <xf numFmtId="0" fontId="82" fillId="0" borderId="0" xfId="2" applyFont="1" applyAlignment="1">
      <alignment vertical="center" wrapText="1"/>
    </xf>
    <xf numFmtId="0" fontId="81" fillId="0" borderId="0" xfId="2" applyFont="1" applyAlignment="1">
      <alignment horizontal="center" vertical="center" wrapText="1"/>
    </xf>
    <xf numFmtId="0" fontId="74" fillId="0" borderId="0" xfId="2" applyFont="1" applyAlignment="1">
      <alignment horizontal="right" vertical="center"/>
    </xf>
    <xf numFmtId="0" fontId="7" fillId="0" borderId="0" xfId="2" applyAlignment="1">
      <alignment horizontal="center" vertical="center" wrapText="1"/>
    </xf>
    <xf numFmtId="0" fontId="7" fillId="0" borderId="0" xfId="2" applyAlignment="1">
      <alignment vertical="center"/>
    </xf>
    <xf numFmtId="0" fontId="36" fillId="0" borderId="0" xfId="2" applyFont="1" applyAlignment="1">
      <alignment horizontal="right" vertical="center" wrapText="1"/>
    </xf>
    <xf numFmtId="0" fontId="81" fillId="0" borderId="0" xfId="2" applyFont="1" applyAlignment="1">
      <alignment horizontal="center" vertical="center"/>
    </xf>
    <xf numFmtId="0" fontId="74" fillId="0" borderId="0" xfId="2" applyFont="1" applyAlignment="1">
      <alignment horizontal="center" vertical="center"/>
    </xf>
    <xf numFmtId="0" fontId="36" fillId="0" borderId="0" xfId="2" applyFont="1" applyAlignment="1">
      <alignment horizontal="right" vertical="center"/>
    </xf>
    <xf numFmtId="0" fontId="7" fillId="0" borderId="0" xfId="2" applyAlignment="1">
      <alignment horizontal="center" wrapText="1"/>
    </xf>
    <xf numFmtId="0" fontId="36" fillId="0" borderId="0" xfId="2" applyFont="1" applyAlignment="1">
      <alignment vertical="center" wrapText="1"/>
    </xf>
    <xf numFmtId="0" fontId="50" fillId="0" borderId="0" xfId="2" applyFont="1" applyAlignment="1">
      <alignment horizontal="center" vertical="center" wrapText="1"/>
    </xf>
    <xf numFmtId="0" fontId="84" fillId="0" borderId="40" xfId="2" applyFont="1" applyBorder="1" applyAlignment="1">
      <alignment vertical="center"/>
    </xf>
    <xf numFmtId="0" fontId="85" fillId="0" borderId="0" xfId="2" applyFont="1" applyAlignment="1">
      <alignment horizontal="center" vertical="center"/>
    </xf>
    <xf numFmtId="0" fontId="50" fillId="0" borderId="0" xfId="2" applyFont="1" applyAlignment="1">
      <alignment horizontal="center"/>
    </xf>
    <xf numFmtId="0" fontId="37" fillId="0" borderId="0" xfId="2" applyFont="1"/>
    <xf numFmtId="40" fontId="42" fillId="0" borderId="35" xfId="2" applyNumberFormat="1" applyFont="1" applyBorder="1"/>
    <xf numFmtId="0" fontId="36" fillId="0" borderId="0" xfId="2" applyFont="1" applyAlignment="1">
      <alignment horizontal="right"/>
    </xf>
    <xf numFmtId="0" fontId="31" fillId="0" borderId="0" xfId="2" applyFont="1"/>
    <xf numFmtId="40" fontId="30" fillId="0" borderId="0" xfId="2" applyNumberFormat="1" applyFont="1"/>
    <xf numFmtId="40" fontId="7" fillId="0" borderId="0" xfId="2" applyNumberFormat="1"/>
    <xf numFmtId="49" fontId="30" fillId="0" borderId="0" xfId="2" applyNumberFormat="1" applyFont="1" applyAlignment="1">
      <alignment horizontal="right"/>
    </xf>
    <xf numFmtId="8" fontId="7" fillId="0" borderId="0" xfId="2" quotePrefix="1" applyNumberFormat="1" applyAlignment="1">
      <alignment horizontal="center"/>
    </xf>
    <xf numFmtId="169" fontId="36" fillId="0" borderId="0" xfId="2" applyNumberFormat="1" applyFont="1" applyAlignment="1">
      <alignment horizontal="right"/>
    </xf>
    <xf numFmtId="0" fontId="31" fillId="0" borderId="0" xfId="2" applyFont="1" applyAlignment="1">
      <alignment horizontal="left" vertical="center" wrapText="1"/>
    </xf>
    <xf numFmtId="40" fontId="41" fillId="0" borderId="26" xfId="2" applyNumberFormat="1" applyFont="1" applyBorder="1" applyProtection="1">
      <protection locked="0"/>
    </xf>
    <xf numFmtId="169" fontId="30" fillId="0" borderId="0" xfId="2" applyNumberFormat="1" applyFont="1" applyAlignment="1">
      <alignment horizontal="right"/>
    </xf>
    <xf numFmtId="40" fontId="56" fillId="0" borderId="0" xfId="2" applyNumberFormat="1" applyFont="1"/>
    <xf numFmtId="0" fontId="53" fillId="0" borderId="0" xfId="2" applyFont="1"/>
    <xf numFmtId="0" fontId="37" fillId="0" borderId="0" xfId="2" applyFont="1" applyAlignment="1">
      <alignment horizontal="left"/>
    </xf>
    <xf numFmtId="0" fontId="56" fillId="0" borderId="0" xfId="2" applyFont="1" applyAlignment="1">
      <alignment horizontal="center"/>
    </xf>
    <xf numFmtId="0" fontId="30" fillId="0" borderId="0" xfId="2" applyFont="1" applyAlignment="1">
      <alignment horizontal="left"/>
    </xf>
    <xf numFmtId="40" fontId="42" fillId="0" borderId="0" xfId="2" applyNumberFormat="1" applyFont="1"/>
    <xf numFmtId="40" fontId="41" fillId="0" borderId="0" xfId="2" applyNumberFormat="1" applyFont="1"/>
    <xf numFmtId="0" fontId="52" fillId="0" borderId="0" xfId="2" quotePrefix="1" applyFont="1"/>
    <xf numFmtId="0" fontId="81" fillId="0" borderId="0" xfId="2" applyFont="1"/>
    <xf numFmtId="0" fontId="87" fillId="0" borderId="0" xfId="2" applyFont="1" applyAlignment="1">
      <alignment vertical="center" wrapText="1"/>
    </xf>
    <xf numFmtId="0" fontId="87" fillId="0" borderId="49" xfId="2" applyFont="1" applyBorder="1" applyAlignment="1">
      <alignment vertical="center" wrapText="1"/>
    </xf>
    <xf numFmtId="0" fontId="52" fillId="0" borderId="0" xfId="2" applyFont="1"/>
    <xf numFmtId="0" fontId="82" fillId="0" borderId="28" xfId="2" quotePrefix="1" applyFont="1" applyBorder="1" applyAlignment="1">
      <alignment horizontal="center"/>
    </xf>
    <xf numFmtId="6" fontId="7" fillId="0" borderId="0" xfId="2" applyNumberFormat="1" applyAlignment="1">
      <alignment horizontal="right"/>
    </xf>
    <xf numFmtId="40" fontId="42" fillId="0" borderId="25" xfId="2" applyNumberFormat="1" applyFont="1" applyBorder="1"/>
    <xf numFmtId="6" fontId="30" fillId="0" borderId="0" xfId="2" applyNumberFormat="1" applyFont="1" applyAlignment="1">
      <alignment horizontal="right"/>
    </xf>
    <xf numFmtId="0" fontId="36" fillId="0" borderId="0" xfId="2" applyFont="1" applyAlignment="1">
      <alignment horizontal="center"/>
    </xf>
    <xf numFmtId="0" fontId="30" fillId="0" borderId="0" xfId="2" applyFont="1" applyAlignment="1">
      <alignment horizontal="centerContinuous"/>
    </xf>
    <xf numFmtId="0" fontId="36" fillId="0" borderId="0" xfId="2" applyFont="1" applyAlignment="1">
      <alignment horizontal="centerContinuous"/>
    </xf>
    <xf numFmtId="0" fontId="35" fillId="0" borderId="27" xfId="2" applyFont="1" applyBorder="1"/>
    <xf numFmtId="0" fontId="30" fillId="0" borderId="27" xfId="2" applyFont="1" applyBorder="1" applyAlignment="1">
      <alignment horizontal="centerContinuous"/>
    </xf>
    <xf numFmtId="0" fontId="36" fillId="0" borderId="27" xfId="2" applyFont="1" applyBorder="1" applyAlignment="1">
      <alignment horizontal="centerContinuous"/>
    </xf>
    <xf numFmtId="0" fontId="36" fillId="0" borderId="27" xfId="2" applyFont="1" applyBorder="1" applyAlignment="1">
      <alignment horizontal="left"/>
    </xf>
    <xf numFmtId="40" fontId="37" fillId="0" borderId="0" xfId="2" applyNumberFormat="1" applyFont="1"/>
    <xf numFmtId="0" fontId="30" fillId="0" borderId="0" xfId="2" quotePrefix="1" applyFont="1"/>
    <xf numFmtId="0" fontId="50" fillId="0" borderId="0" xfId="2" applyFont="1"/>
    <xf numFmtId="0" fontId="38" fillId="0" borderId="0" xfId="2" applyFont="1" applyAlignment="1">
      <alignment vertical="center" wrapText="1"/>
    </xf>
    <xf numFmtId="0" fontId="38" fillId="0" borderId="49" xfId="2" applyFont="1" applyBorder="1" applyAlignment="1">
      <alignment vertical="center" wrapText="1"/>
    </xf>
    <xf numFmtId="170" fontId="30" fillId="0" borderId="0" xfId="2" applyNumberFormat="1" applyFont="1" applyAlignment="1">
      <alignment horizontal="right"/>
    </xf>
    <xf numFmtId="0" fontId="82" fillId="0" borderId="8" xfId="2" quotePrefix="1" applyFont="1" applyBorder="1" applyAlignment="1">
      <alignment horizontal="center"/>
    </xf>
    <xf numFmtId="0" fontId="82" fillId="0" borderId="0" xfId="2" quotePrefix="1" applyFont="1" applyAlignment="1">
      <alignment horizontal="center"/>
    </xf>
    <xf numFmtId="0" fontId="49" fillId="0" borderId="0" xfId="2" applyFont="1"/>
    <xf numFmtId="0" fontId="54" fillId="0" borderId="0" xfId="2" applyFont="1"/>
    <xf numFmtId="0" fontId="45" fillId="0" borderId="0" xfId="2" applyFont="1"/>
    <xf numFmtId="0" fontId="51" fillId="0" borderId="0" xfId="2" applyFont="1"/>
    <xf numFmtId="49" fontId="55" fillId="0" borderId="0" xfId="2" applyNumberFormat="1" applyFont="1" applyAlignment="1">
      <alignment horizontal="left"/>
    </xf>
    <xf numFmtId="0" fontId="38" fillId="0" borderId="0" xfId="2" applyFont="1"/>
    <xf numFmtId="40" fontId="40" fillId="0" borderId="0" xfId="2" applyNumberFormat="1" applyFont="1"/>
    <xf numFmtId="40" fontId="42" fillId="0" borderId="0" xfId="2" applyNumberFormat="1" applyFont="1" applyAlignment="1">
      <alignment horizontal="right"/>
    </xf>
    <xf numFmtId="0" fontId="42" fillId="0" borderId="0" xfId="2" applyFont="1"/>
    <xf numFmtId="0" fontId="42" fillId="0" borderId="0" xfId="2" applyFont="1" applyAlignment="1">
      <alignment horizontal="right"/>
    </xf>
    <xf numFmtId="40" fontId="7" fillId="0" borderId="24" xfId="2" applyNumberFormat="1" applyBorder="1"/>
    <xf numFmtId="0" fontId="48" fillId="0" borderId="0" xfId="2" applyFont="1"/>
    <xf numFmtId="40" fontId="41" fillId="0" borderId="0" xfId="2" applyNumberFormat="1" applyFont="1" applyProtection="1">
      <protection locked="0"/>
    </xf>
    <xf numFmtId="0" fontId="44" fillId="0" borderId="0" xfId="2" applyFont="1"/>
    <xf numFmtId="0" fontId="44" fillId="0" borderId="0" xfId="2" applyFont="1" applyAlignment="1">
      <alignment horizontal="right"/>
    </xf>
    <xf numFmtId="0" fontId="43" fillId="0" borderId="0" xfId="2" applyFont="1"/>
    <xf numFmtId="0" fontId="42" fillId="0" borderId="0" xfId="2" applyFont="1" applyAlignment="1">
      <alignment horizontal="left" indent="1"/>
    </xf>
    <xf numFmtId="0" fontId="42" fillId="0" borderId="0" xfId="2" applyFont="1" applyAlignment="1">
      <alignment horizontal="right" indent="1"/>
    </xf>
    <xf numFmtId="40" fontId="46" fillId="0" borderId="0" xfId="2" applyNumberFormat="1" applyFont="1"/>
    <xf numFmtId="40" fontId="47" fillId="0" borderId="0" xfId="2" applyNumberFormat="1" applyFont="1"/>
    <xf numFmtId="40" fontId="45" fillId="0" borderId="0" xfId="2" applyNumberFormat="1" applyFont="1"/>
    <xf numFmtId="0" fontId="38" fillId="0" borderId="0" xfId="2" applyFont="1" applyAlignment="1">
      <alignment horizontal="left"/>
    </xf>
    <xf numFmtId="0" fontId="46" fillId="0" borderId="0" xfId="2" applyFont="1" applyAlignment="1">
      <alignment horizontal="left" indent="1"/>
    </xf>
    <xf numFmtId="0" fontId="46" fillId="0" borderId="0" xfId="2" applyFont="1" applyAlignment="1">
      <alignment horizontal="right" indent="1"/>
    </xf>
    <xf numFmtId="0" fontId="42" fillId="0" borderId="0" xfId="2" applyFont="1" applyAlignment="1">
      <alignment horizontal="left"/>
    </xf>
    <xf numFmtId="0" fontId="34" fillId="0" borderId="0" xfId="2" applyFont="1" applyAlignment="1">
      <alignment horizontal="center"/>
    </xf>
    <xf numFmtId="0" fontId="70" fillId="0" borderId="0" xfId="2" applyFont="1"/>
    <xf numFmtId="0" fontId="70" fillId="0" borderId="51" xfId="2" applyFont="1" applyBorder="1"/>
    <xf numFmtId="0" fontId="37" fillId="0" borderId="0" xfId="2" applyFont="1" applyAlignment="1">
      <alignment horizontal="centerContinuous"/>
    </xf>
    <xf numFmtId="0" fontId="34" fillId="0" borderId="0" xfId="2" applyFont="1" applyAlignment="1">
      <alignment horizontal="center" vertical="center" wrapText="1"/>
    </xf>
    <xf numFmtId="0" fontId="34" fillId="0" borderId="0" xfId="2" applyFont="1" applyAlignment="1">
      <alignment horizontal="center" vertical="center"/>
    </xf>
    <xf numFmtId="49" fontId="31" fillId="0" borderId="0" xfId="2" applyNumberFormat="1" applyFont="1" applyAlignment="1">
      <alignment horizontal="center"/>
    </xf>
    <xf numFmtId="0" fontId="34" fillId="0" borderId="0" xfId="2" applyFont="1"/>
    <xf numFmtId="167" fontId="32" fillId="0" borderId="0" xfId="2" applyNumberFormat="1" applyFont="1" applyAlignment="1">
      <alignment horizontal="center"/>
    </xf>
    <xf numFmtId="167" fontId="31" fillId="0" borderId="0" xfId="2" applyNumberFormat="1" applyFont="1" applyAlignment="1">
      <alignment horizontal="center"/>
    </xf>
    <xf numFmtId="0" fontId="31" fillId="0" borderId="0" xfId="2" quotePrefix="1" applyFont="1" applyAlignment="1">
      <alignment horizontal="center"/>
    </xf>
    <xf numFmtId="0" fontId="63" fillId="0" borderId="0" xfId="2" applyFont="1"/>
    <xf numFmtId="49" fontId="32" fillId="0" borderId="0" xfId="2" applyNumberFormat="1" applyFont="1" applyAlignment="1">
      <alignment horizontal="center"/>
    </xf>
    <xf numFmtId="0" fontId="32" fillId="0" borderId="0" xfId="2" applyFont="1" applyAlignment="1">
      <alignment horizontal="center"/>
    </xf>
    <xf numFmtId="0" fontId="31" fillId="0" borderId="0" xfId="2" applyFont="1" applyAlignment="1">
      <alignment horizontal="right"/>
    </xf>
    <xf numFmtId="0" fontId="90" fillId="0" borderId="0" xfId="2" applyFont="1" applyAlignment="1">
      <alignment horizontal="left" vertical="center" wrapText="1"/>
    </xf>
    <xf numFmtId="49" fontId="32" fillId="11" borderId="0" xfId="2" applyNumberFormat="1" applyFont="1" applyFill="1" applyAlignment="1">
      <alignment horizontal="center"/>
    </xf>
    <xf numFmtId="0" fontId="32" fillId="11" borderId="0" xfId="2" quotePrefix="1" applyFont="1" applyFill="1" applyAlignment="1">
      <alignment horizontal="center"/>
    </xf>
    <xf numFmtId="0" fontId="31" fillId="11" borderId="0" xfId="2" quotePrefix="1" applyFont="1" applyFill="1" applyAlignment="1">
      <alignment horizontal="center"/>
    </xf>
    <xf numFmtId="0" fontId="92" fillId="0" borderId="0" xfId="0" applyFont="1" applyFill="1" applyAlignment="1">
      <alignment horizontal="center"/>
    </xf>
    <xf numFmtId="0" fontId="93" fillId="0" borderId="0" xfId="0" applyFont="1" applyFill="1"/>
    <xf numFmtId="0" fontId="0" fillId="0" borderId="0" xfId="0" applyBorder="1" applyAlignment="1" applyProtection="1">
      <alignment horizontal="left" vertical="center"/>
    </xf>
    <xf numFmtId="40" fontId="39" fillId="0" borderId="0" xfId="2" applyNumberFormat="1" applyFont="1" applyFill="1" applyProtection="1">
      <protection locked="0"/>
    </xf>
    <xf numFmtId="40" fontId="39" fillId="0" borderId="26" xfId="2" applyNumberFormat="1" applyFont="1" applyFill="1" applyBorder="1" applyProtection="1">
      <protection locked="0"/>
    </xf>
    <xf numFmtId="0" fontId="94" fillId="0" borderId="0" xfId="2" applyFont="1" applyAlignment="1">
      <alignment horizontal="center" vertical="center"/>
    </xf>
    <xf numFmtId="40" fontId="41" fillId="0" borderId="0" xfId="2" applyNumberFormat="1" applyFont="1" applyFill="1" applyProtection="1">
      <protection locked="0"/>
    </xf>
    <xf numFmtId="0" fontId="0" fillId="13" borderId="0" xfId="0" applyFill="1"/>
    <xf numFmtId="44" fontId="0" fillId="13" borderId="0" xfId="0" applyNumberFormat="1" applyFill="1"/>
    <xf numFmtId="0" fontId="0" fillId="0" borderId="0" xfId="0" applyBorder="1" applyAlignment="1" applyProtection="1">
      <alignment horizontal="left" vertical="top" wrapText="1"/>
    </xf>
    <xf numFmtId="0" fontId="0" fillId="0" borderId="0" xfId="0" applyBorder="1" applyAlignment="1" applyProtection="1">
      <alignment vertical="top"/>
    </xf>
    <xf numFmtId="0" fontId="0" fillId="0" borderId="0" xfId="0" applyBorder="1" applyAlignment="1" applyProtection="1">
      <alignment horizontal="left" vertical="center"/>
    </xf>
    <xf numFmtId="166" fontId="2" fillId="0" borderId="0" xfId="0" applyNumberFormat="1" applyFont="1" applyAlignment="1">
      <alignment horizontal="left" vertical="top"/>
    </xf>
    <xf numFmtId="0" fontId="4" fillId="0" borderId="0" xfId="0" applyFont="1" applyBorder="1" applyAlignment="1" applyProtection="1">
      <alignment vertical="center"/>
    </xf>
    <xf numFmtId="0" fontId="10" fillId="0" borderId="0" xfId="0" applyFont="1" applyBorder="1" applyAlignment="1" applyProtection="1">
      <alignment horizontal="center" vertical="center" wrapText="1"/>
    </xf>
    <xf numFmtId="0" fontId="10" fillId="0" borderId="0" xfId="0" applyFont="1" applyFill="1" applyBorder="1" applyAlignment="1" applyProtection="1">
      <alignment vertical="center"/>
    </xf>
    <xf numFmtId="38" fontId="0" fillId="0" borderId="0" xfId="0" applyNumberFormat="1" applyBorder="1" applyAlignment="1" applyProtection="1">
      <alignment horizontal="center" vertical="center"/>
    </xf>
    <xf numFmtId="38" fontId="2" fillId="0" borderId="0" xfId="0" applyNumberFormat="1" applyFont="1" applyBorder="1" applyAlignment="1" applyProtection="1">
      <alignment horizontal="center" vertical="center" wrapText="1"/>
    </xf>
    <xf numFmtId="38" fontId="0" fillId="0" borderId="0" xfId="0" applyNumberFormat="1" applyBorder="1" applyAlignment="1" applyProtection="1">
      <alignment horizontal="center" vertical="center" wrapText="1"/>
    </xf>
    <xf numFmtId="38" fontId="4" fillId="0" borderId="0" xfId="0" applyNumberFormat="1" applyFont="1" applyFill="1" applyBorder="1" applyAlignment="1" applyProtection="1">
      <alignment horizontal="center" vertical="center"/>
    </xf>
    <xf numFmtId="38" fontId="4" fillId="0" borderId="0" xfId="0" applyNumberFormat="1" applyFont="1" applyBorder="1" applyAlignment="1" applyProtection="1">
      <alignment horizontal="center" vertical="center"/>
    </xf>
    <xf numFmtId="38" fontId="4" fillId="0" borderId="0" xfId="0" applyNumberFormat="1" applyFont="1" applyBorder="1" applyAlignment="1" applyProtection="1">
      <alignment horizontal="center" vertical="center"/>
    </xf>
    <xf numFmtId="0" fontId="4" fillId="0" borderId="0" xfId="0" applyFont="1" applyAlignment="1" applyProtection="1">
      <alignment vertical="center"/>
    </xf>
    <xf numFmtId="0" fontId="4" fillId="0" borderId="0" xfId="0" applyFont="1" applyBorder="1" applyAlignment="1" applyProtection="1">
      <alignment horizontal="left" vertical="top"/>
    </xf>
    <xf numFmtId="0" fontId="10" fillId="0" borderId="0" xfId="0" applyFont="1" applyBorder="1" applyAlignment="1" applyProtection="1">
      <alignment horizontal="left" vertical="top"/>
    </xf>
    <xf numFmtId="0" fontId="4" fillId="7" borderId="0" xfId="0" applyFont="1" applyFill="1"/>
    <xf numFmtId="38" fontId="4" fillId="0" borderId="0" xfId="0" applyNumberFormat="1" applyFont="1" applyAlignment="1" applyProtection="1">
      <alignment horizontal="center" vertical="center"/>
    </xf>
    <xf numFmtId="38" fontId="4" fillId="0" borderId="0" xfId="0" applyNumberFormat="1" applyFont="1" applyFill="1" applyAlignment="1" applyProtection="1">
      <alignment horizontal="center" vertical="center"/>
    </xf>
    <xf numFmtId="38" fontId="10" fillId="0" borderId="0" xfId="0" applyNumberFormat="1" applyFont="1" applyAlignment="1" applyProtection="1">
      <alignment horizontal="center" vertical="center"/>
    </xf>
    <xf numFmtId="38" fontId="12" fillId="0" borderId="0" xfId="0" applyNumberFormat="1" applyFont="1" applyAlignment="1" applyProtection="1">
      <alignment horizontal="center" vertical="center"/>
    </xf>
    <xf numFmtId="38" fontId="12" fillId="0" borderId="0" xfId="0" applyNumberFormat="1" applyFont="1" applyFill="1" applyAlignment="1" applyProtection="1">
      <alignment horizontal="center" vertical="center"/>
    </xf>
    <xf numFmtId="38" fontId="18" fillId="0" borderId="0" xfId="0" applyNumberFormat="1" applyFont="1" applyAlignment="1" applyProtection="1">
      <alignment horizontal="center" vertical="center"/>
    </xf>
    <xf numFmtId="0" fontId="2" fillId="0" borderId="0" xfId="0" applyFont="1"/>
    <xf numFmtId="38" fontId="12" fillId="6" borderId="54" xfId="0" applyNumberFormat="1" applyFont="1" applyFill="1" applyBorder="1" applyAlignment="1">
      <alignment horizontal="center" vertical="center"/>
    </xf>
    <xf numFmtId="38" fontId="12" fillId="6" borderId="55" xfId="0" applyNumberFormat="1" applyFont="1" applyFill="1" applyBorder="1" applyAlignment="1">
      <alignment horizontal="center" vertical="center"/>
    </xf>
    <xf numFmtId="0" fontId="12" fillId="2" borderId="8" xfId="0" applyFont="1" applyFill="1" applyBorder="1" applyAlignment="1" applyProtection="1">
      <alignment horizontal="center" vertical="center"/>
      <protection locked="0"/>
    </xf>
    <xf numFmtId="0" fontId="26" fillId="0" borderId="0" xfId="0" applyFont="1" applyBorder="1" applyAlignment="1" applyProtection="1">
      <alignment horizontal="left" vertical="top" wrapText="1"/>
    </xf>
    <xf numFmtId="0" fontId="28" fillId="0" borderId="0" xfId="0" applyFont="1" applyBorder="1" applyAlignment="1" applyProtection="1">
      <alignment horizontal="left" vertical="top"/>
    </xf>
    <xf numFmtId="0" fontId="0" fillId="0" borderId="0" xfId="0" applyAlignment="1" applyProtection="1">
      <alignment vertical="top"/>
    </xf>
    <xf numFmtId="0" fontId="0" fillId="2" borderId="0" xfId="0" applyFont="1" applyFill="1" applyBorder="1" applyAlignment="1" applyProtection="1">
      <alignment horizontal="center" vertical="top"/>
    </xf>
    <xf numFmtId="0" fontId="97" fillId="0" borderId="0" xfId="0" applyFont="1"/>
    <xf numFmtId="0" fontId="3"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Border="1" applyAlignment="1" applyProtection="1">
      <alignment horizontal="left" vertical="top" wrapText="1"/>
    </xf>
    <xf numFmtId="0" fontId="0" fillId="0" borderId="0" xfId="0" applyBorder="1" applyAlignment="1" applyProtection="1">
      <alignment horizontal="left" vertical="top"/>
    </xf>
    <xf numFmtId="0" fontId="0" fillId="0" borderId="0" xfId="0" applyFont="1" applyBorder="1" applyProtection="1"/>
    <xf numFmtId="0" fontId="0" fillId="0" borderId="0" xfId="0" applyFont="1" applyProtection="1"/>
    <xf numFmtId="0" fontId="0" fillId="0" borderId="16" xfId="0" applyFont="1" applyBorder="1" applyAlignment="1" applyProtection="1">
      <alignment vertical="center"/>
    </xf>
    <xf numFmtId="0" fontId="2" fillId="0" borderId="56" xfId="0" applyFont="1" applyBorder="1" applyAlignment="1" applyProtection="1">
      <alignment vertical="center"/>
    </xf>
    <xf numFmtId="0" fontId="0" fillId="0" borderId="57" xfId="0" applyFont="1" applyBorder="1" applyProtection="1"/>
    <xf numFmtId="0" fontId="0" fillId="0" borderId="59" xfId="0" applyFont="1" applyBorder="1" applyAlignment="1" applyProtection="1">
      <alignment vertical="center"/>
    </xf>
    <xf numFmtId="0" fontId="0" fillId="0" borderId="60" xfId="0" applyFont="1" applyBorder="1" applyProtection="1"/>
    <xf numFmtId="0" fontId="0" fillId="0" borderId="62" xfId="0" applyFont="1" applyBorder="1" applyAlignment="1" applyProtection="1">
      <alignment vertical="center"/>
    </xf>
    <xf numFmtId="0" fontId="0" fillId="0" borderId="18" xfId="0" applyFont="1" applyBorder="1" applyProtection="1"/>
    <xf numFmtId="0" fontId="2" fillId="0" borderId="57" xfId="0" applyFont="1" applyBorder="1" applyAlignment="1" applyProtection="1">
      <alignment horizontal="right"/>
    </xf>
    <xf numFmtId="0" fontId="2" fillId="0" borderId="58" xfId="0" applyFont="1" applyBorder="1" applyAlignment="1" applyProtection="1">
      <alignment horizontal="right"/>
    </xf>
    <xf numFmtId="8" fontId="0" fillId="0" borderId="61" xfId="0" applyNumberFormat="1" applyFont="1" applyBorder="1" applyProtection="1"/>
    <xf numFmtId="8" fontId="0" fillId="0" borderId="63" xfId="0" applyNumberFormat="1" applyFont="1" applyBorder="1" applyProtection="1"/>
    <xf numFmtId="0" fontId="0" fillId="0" borderId="65" xfId="0" applyFont="1" applyBorder="1" applyAlignment="1" applyProtection="1">
      <alignment vertical="center"/>
    </xf>
    <xf numFmtId="0" fontId="0" fillId="0" borderId="66" xfId="0" applyFont="1" applyBorder="1" applyProtection="1"/>
    <xf numFmtId="8" fontId="0" fillId="0" borderId="66" xfId="0" applyNumberFormat="1" applyFont="1" applyBorder="1" applyProtection="1"/>
    <xf numFmtId="8" fontId="0" fillId="0" borderId="67" xfId="0" applyNumberFormat="1" applyFont="1" applyBorder="1" applyProtection="1"/>
    <xf numFmtId="8" fontId="4" fillId="12" borderId="68" xfId="0" applyNumberFormat="1" applyFont="1" applyFill="1" applyBorder="1" applyProtection="1"/>
    <xf numFmtId="8" fontId="4" fillId="12" borderId="18" xfId="0" applyNumberFormat="1" applyFont="1" applyFill="1" applyBorder="1" applyProtection="1"/>
    <xf numFmtId="8" fontId="0" fillId="0" borderId="42" xfId="0" applyNumberFormat="1" applyFont="1" applyBorder="1" applyProtection="1"/>
    <xf numFmtId="0" fontId="2" fillId="0" borderId="0" xfId="0" applyFont="1" applyProtection="1"/>
    <xf numFmtId="6" fontId="59" fillId="0" borderId="0" xfId="0" applyNumberFormat="1" applyFont="1" applyAlignment="1">
      <alignment horizontal="right" vertical="center"/>
    </xf>
    <xf numFmtId="8" fontId="12" fillId="14" borderId="64" xfId="0" applyNumberFormat="1" applyFont="1" applyFill="1" applyBorder="1" applyProtection="1">
      <protection locked="0"/>
    </xf>
    <xf numFmtId="8" fontId="12" fillId="14" borderId="36" xfId="0" applyNumberFormat="1" applyFont="1" applyFill="1" applyBorder="1" applyProtection="1">
      <protection locked="0"/>
    </xf>
    <xf numFmtId="8" fontId="12" fillId="14" borderId="26" xfId="0" applyNumberFormat="1" applyFont="1" applyFill="1" applyBorder="1" applyProtection="1">
      <protection locked="0"/>
    </xf>
    <xf numFmtId="0" fontId="0" fillId="0" borderId="66" xfId="0" applyBorder="1" applyProtection="1"/>
    <xf numFmtId="0" fontId="0" fillId="0" borderId="16" xfId="0" applyBorder="1" applyProtection="1"/>
    <xf numFmtId="0" fontId="0" fillId="0" borderId="42" xfId="0" applyBorder="1" applyProtection="1"/>
    <xf numFmtId="0" fontId="0" fillId="0" borderId="65" xfId="0" applyBorder="1" applyProtection="1"/>
    <xf numFmtId="8" fontId="0" fillId="0" borderId="66" xfId="0" applyNumberFormat="1" applyBorder="1" applyProtection="1"/>
    <xf numFmtId="8" fontId="0" fillId="0" borderId="67" xfId="0" applyNumberFormat="1" applyBorder="1" applyProtection="1"/>
    <xf numFmtId="8" fontId="4" fillId="0" borderId="70" xfId="0" applyNumberFormat="1" applyFont="1" applyFill="1" applyBorder="1" applyAlignment="1" applyProtection="1">
      <alignment vertical="center"/>
    </xf>
    <xf numFmtId="8" fontId="4" fillId="0" borderId="63" xfId="0" applyNumberFormat="1" applyFont="1" applyFill="1" applyBorder="1" applyAlignment="1" applyProtection="1">
      <alignment vertical="center"/>
    </xf>
    <xf numFmtId="0" fontId="4" fillId="0" borderId="42" xfId="0" applyFont="1" applyFill="1" applyBorder="1" applyProtection="1"/>
    <xf numFmtId="8" fontId="12" fillId="14" borderId="17" xfId="0" applyNumberFormat="1" applyFont="1" applyFill="1" applyBorder="1" applyAlignment="1" applyProtection="1">
      <alignment vertical="center"/>
      <protection locked="0"/>
    </xf>
    <xf numFmtId="8" fontId="12" fillId="14" borderId="70" xfId="0" applyNumberFormat="1" applyFont="1" applyFill="1" applyBorder="1" applyAlignment="1" applyProtection="1">
      <alignment vertical="center"/>
      <protection locked="0"/>
    </xf>
    <xf numFmtId="8" fontId="12" fillId="14" borderId="18" xfId="0" applyNumberFormat="1" applyFont="1" applyFill="1" applyBorder="1" applyAlignment="1" applyProtection="1">
      <alignment vertical="center"/>
      <protection locked="0"/>
    </xf>
    <xf numFmtId="8" fontId="12" fillId="14" borderId="63" xfId="0" applyNumberFormat="1" applyFont="1" applyFill="1" applyBorder="1" applyAlignment="1" applyProtection="1">
      <alignment vertical="center"/>
      <protection locked="0"/>
    </xf>
    <xf numFmtId="0" fontId="0" fillId="0" borderId="66" xfId="0" applyFill="1" applyBorder="1" applyAlignment="1" applyProtection="1">
      <alignment horizontal="right" vertical="center"/>
    </xf>
    <xf numFmtId="176" fontId="0" fillId="0" borderId="0" xfId="0" applyNumberFormat="1" applyBorder="1" applyAlignment="1" applyProtection="1">
      <alignment vertical="top"/>
    </xf>
    <xf numFmtId="176" fontId="4" fillId="0" borderId="66" xfId="0" applyNumberFormat="1" applyFont="1" applyFill="1" applyBorder="1" applyAlignment="1" applyProtection="1">
      <alignment vertical="center"/>
    </xf>
    <xf numFmtId="0" fontId="96" fillId="0" borderId="0" xfId="0" applyFont="1" applyBorder="1" applyAlignment="1" applyProtection="1">
      <alignment horizontal="center" vertical="top" wrapText="1"/>
    </xf>
    <xf numFmtId="0" fontId="6"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applyAlignment="1">
      <alignment horizontal="left" vertical="center"/>
    </xf>
    <xf numFmtId="0" fontId="2" fillId="9" borderId="7" xfId="0" applyFont="1" applyFill="1" applyBorder="1" applyAlignment="1">
      <alignment horizontal="center"/>
    </xf>
    <xf numFmtId="0" fontId="0" fillId="0" borderId="0" xfId="0" quotePrefix="1" applyAlignment="1">
      <alignment horizontal="left" vertical="center"/>
    </xf>
    <xf numFmtId="0" fontId="0" fillId="0" borderId="0" xfId="0" quotePrefix="1" applyBorder="1" applyProtection="1"/>
    <xf numFmtId="0" fontId="0" fillId="0" borderId="0" xfId="0" applyAlignment="1">
      <alignment horizontal="left" vertical="center"/>
    </xf>
    <xf numFmtId="0" fontId="0" fillId="0" borderId="0" xfId="0" applyAlignment="1">
      <alignment horizontal="left" vertical="center"/>
    </xf>
    <xf numFmtId="0" fontId="0" fillId="0" borderId="0" xfId="0" applyBorder="1" applyAlignment="1" applyProtection="1">
      <alignment vertical="top"/>
    </xf>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center"/>
    </xf>
    <xf numFmtId="0" fontId="0" fillId="0" borderId="0" xfId="0" applyFont="1" applyBorder="1" applyAlignment="1" applyProtection="1">
      <alignment horizontal="left" vertical="center" wrapText="1"/>
    </xf>
    <xf numFmtId="166" fontId="2" fillId="0" borderId="0" xfId="0" applyNumberFormat="1" applyFont="1" applyFill="1" applyBorder="1" applyAlignment="1" applyProtection="1">
      <alignment vertical="top"/>
    </xf>
    <xf numFmtId="6" fontId="12" fillId="6" borderId="28" xfId="0" applyNumberFormat="1" applyFont="1" applyFill="1" applyBorder="1" applyAlignment="1">
      <alignment horizontal="center" vertical="center"/>
    </xf>
    <xf numFmtId="0" fontId="0" fillId="0" borderId="0" xfId="0" applyAlignment="1">
      <alignment horizontal="left" vertical="center"/>
    </xf>
    <xf numFmtId="0" fontId="0" fillId="0" borderId="0" xfId="0" applyBorder="1" applyAlignment="1" applyProtection="1">
      <alignment vertical="top"/>
    </xf>
    <xf numFmtId="8" fontId="12" fillId="6" borderId="17" xfId="0" applyNumberFormat="1" applyFont="1" applyFill="1" applyBorder="1" applyAlignment="1">
      <alignment horizontal="right" vertical="center"/>
    </xf>
    <xf numFmtId="8" fontId="4" fillId="0" borderId="17" xfId="0" applyNumberFormat="1" applyFont="1" applyFill="1" applyBorder="1" applyAlignment="1">
      <alignment horizontal="right" vertical="center"/>
    </xf>
    <xf numFmtId="0" fontId="0" fillId="0" borderId="17" xfId="0" applyBorder="1"/>
    <xf numFmtId="0" fontId="0" fillId="0" borderId="17" xfId="0" applyBorder="1" applyAlignment="1">
      <alignment horizontal="center"/>
    </xf>
    <xf numFmtId="0" fontId="13" fillId="0" borderId="0" xfId="0" applyFont="1" applyFill="1" applyBorder="1" applyAlignment="1">
      <alignment horizontal="center"/>
    </xf>
    <xf numFmtId="0" fontId="92" fillId="0" borderId="0" xfId="0" applyFont="1" applyFill="1" applyBorder="1" applyAlignment="1">
      <alignment horizontal="center"/>
    </xf>
    <xf numFmtId="6" fontId="0" fillId="0" borderId="28" xfId="0" applyNumberFormat="1" applyBorder="1" applyAlignment="1" applyProtection="1">
      <alignment horizontal="right" vertical="center" indent="1"/>
    </xf>
    <xf numFmtId="6" fontId="0" fillId="0" borderId="28" xfId="0" applyNumberFormat="1" applyBorder="1" applyAlignment="1" applyProtection="1">
      <alignment horizontal="right" vertical="center"/>
    </xf>
    <xf numFmtId="6" fontId="0" fillId="0" borderId="0" xfId="0" applyNumberFormat="1" applyBorder="1" applyProtection="1"/>
    <xf numFmtId="0" fontId="0" fillId="0" borderId="17" xfId="0" applyBorder="1" applyProtection="1"/>
    <xf numFmtId="6" fontId="0" fillId="0" borderId="17" xfId="0" applyNumberFormat="1" applyBorder="1" applyProtection="1"/>
    <xf numFmtId="0" fontId="0" fillId="0" borderId="17" xfId="0" applyBorder="1" applyAlignment="1" applyProtection="1">
      <alignment vertical="top"/>
    </xf>
    <xf numFmtId="0" fontId="0" fillId="0" borderId="18" xfId="0" applyBorder="1" applyAlignment="1" applyProtection="1">
      <alignment vertical="top"/>
    </xf>
    <xf numFmtId="0" fontId="0" fillId="0" borderId="51" xfId="0" applyBorder="1" applyProtection="1"/>
    <xf numFmtId="0" fontId="0" fillId="0" borderId="17" xfId="0" applyBorder="1" applyAlignment="1" applyProtection="1">
      <alignment vertical="center"/>
    </xf>
    <xf numFmtId="0" fontId="0" fillId="0" borderId="18" xfId="0" applyBorder="1" applyAlignment="1" applyProtection="1">
      <alignment vertical="center"/>
    </xf>
    <xf numFmtId="6" fontId="0" fillId="0" borderId="1" xfId="0" applyNumberFormat="1" applyBorder="1" applyAlignment="1" applyProtection="1">
      <alignment horizontal="right" vertical="center"/>
    </xf>
    <xf numFmtId="6" fontId="0" fillId="0" borderId="28" xfId="0" applyNumberFormat="1" applyFill="1" applyBorder="1" applyAlignment="1" applyProtection="1">
      <alignment horizontal="right" vertical="center"/>
    </xf>
    <xf numFmtId="49" fontId="2" fillId="0" borderId="0" xfId="0" applyNumberFormat="1" applyFont="1" applyBorder="1" applyAlignment="1" applyProtection="1">
      <alignment horizontal="left"/>
    </xf>
    <xf numFmtId="9" fontId="12" fillId="6" borderId="17" xfId="4" applyFont="1" applyFill="1" applyBorder="1" applyAlignment="1">
      <alignment horizontal="right" vertical="center"/>
    </xf>
    <xf numFmtId="0" fontId="0" fillId="0" borderId="51" xfId="0" applyBorder="1" applyAlignment="1" applyProtection="1">
      <alignment vertical="top"/>
    </xf>
    <xf numFmtId="6" fontId="0" fillId="0" borderId="2" xfId="0" applyNumberFormat="1" applyBorder="1" applyAlignment="1" applyProtection="1">
      <alignment vertical="top"/>
    </xf>
    <xf numFmtId="0" fontId="11" fillId="0" borderId="51" xfId="0" applyFont="1" applyBorder="1" applyAlignment="1" applyProtection="1">
      <alignment vertical="top"/>
    </xf>
    <xf numFmtId="0" fontId="11" fillId="0" borderId="0" xfId="0" applyFont="1" applyBorder="1" applyAlignment="1" applyProtection="1">
      <alignment horizontal="right" vertical="center"/>
    </xf>
    <xf numFmtId="0" fontId="12" fillId="2" borderId="28" xfId="0" applyFont="1" applyFill="1" applyBorder="1" applyAlignment="1" applyProtection="1">
      <alignment vertical="center"/>
      <protection locked="0"/>
    </xf>
    <xf numFmtId="6" fontId="0" fillId="0" borderId="1" xfId="0" applyNumberFormat="1" applyBorder="1" applyAlignment="1" applyProtection="1">
      <alignment horizontal="right" vertical="top"/>
    </xf>
    <xf numFmtId="6" fontId="0" fillId="0" borderId="28" xfId="0" applyNumberFormat="1" applyBorder="1" applyAlignment="1" applyProtection="1">
      <alignment horizontal="right" vertical="top"/>
    </xf>
    <xf numFmtId="0" fontId="4" fillId="0" borderId="0" xfId="0" applyFont="1" applyBorder="1"/>
    <xf numFmtId="0" fontId="0" fillId="0" borderId="0" xfId="0" applyAlignment="1">
      <alignment horizontal="left" vertical="center"/>
    </xf>
    <xf numFmtId="0" fontId="0" fillId="0" borderId="0" xfId="0" applyBorder="1" applyAlignment="1" applyProtection="1">
      <alignment horizontal="center" vertical="center"/>
    </xf>
    <xf numFmtId="0" fontId="0" fillId="0" borderId="0" xfId="0" applyBorder="1" applyAlignment="1" applyProtection="1">
      <alignment vertical="center"/>
    </xf>
    <xf numFmtId="0" fontId="0" fillId="0" borderId="0" xfId="0" applyBorder="1" applyAlignment="1" applyProtection="1">
      <alignment horizontal="left" vertical="top" wrapText="1"/>
    </xf>
    <xf numFmtId="0" fontId="2" fillId="0" borderId="0" xfId="0" applyFont="1" applyBorder="1" applyAlignment="1" applyProtection="1">
      <alignment horizontal="left" vertical="top"/>
    </xf>
    <xf numFmtId="0" fontId="0" fillId="0" borderId="0" xfId="0" applyBorder="1" applyAlignment="1" applyProtection="1">
      <alignment vertical="top"/>
    </xf>
    <xf numFmtId="0" fontId="2" fillId="0" borderId="0" xfId="0" applyFont="1" applyBorder="1" applyAlignment="1" applyProtection="1">
      <alignment horizontal="left" vertical="top" wrapText="1"/>
    </xf>
    <xf numFmtId="0" fontId="0" fillId="0" borderId="0" xfId="0" applyAlignment="1">
      <alignment horizontal="left" vertical="center"/>
    </xf>
    <xf numFmtId="0" fontId="0" fillId="0" borderId="0" xfId="0" applyBorder="1" applyAlignment="1" applyProtection="1">
      <alignment vertical="center"/>
    </xf>
    <xf numFmtId="0" fontId="0" fillId="0" borderId="0" xfId="0" applyBorder="1" applyAlignment="1" applyProtection="1">
      <alignment vertical="top"/>
    </xf>
    <xf numFmtId="0" fontId="0" fillId="0" borderId="0" xfId="0" applyBorder="1" applyAlignment="1" applyProtection="1">
      <alignment horizontal="left" vertical="top"/>
    </xf>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center"/>
    </xf>
    <xf numFmtId="6" fontId="0" fillId="0" borderId="2" xfId="0" applyNumberFormat="1" applyBorder="1" applyAlignment="1" applyProtection="1">
      <alignment horizontal="right" vertical="top"/>
    </xf>
    <xf numFmtId="0" fontId="10" fillId="0" borderId="0" xfId="0" applyFont="1" applyFill="1" applyAlignment="1">
      <alignment horizontal="center"/>
    </xf>
    <xf numFmtId="9" fontId="4" fillId="0" borderId="0" xfId="4" applyFont="1" applyAlignment="1">
      <alignment horizontal="center" vertical="center"/>
    </xf>
    <xf numFmtId="0" fontId="101" fillId="0" borderId="0" xfId="0" applyFont="1" applyFill="1" applyAlignment="1">
      <alignment horizontal="center" wrapText="1"/>
    </xf>
    <xf numFmtId="38" fontId="0" fillId="0" borderId="0" xfId="0" applyNumberFormat="1" applyAlignment="1">
      <alignment horizontal="right" vertical="center" indent="1"/>
    </xf>
    <xf numFmtId="0" fontId="0" fillId="0" borderId="51" xfId="0" quotePrefix="1" applyBorder="1" applyAlignment="1" applyProtection="1">
      <alignment vertical="top"/>
    </xf>
    <xf numFmtId="0" fontId="2" fillId="0" borderId="7" xfId="0" applyFont="1" applyBorder="1" applyAlignment="1">
      <alignment horizontal="center"/>
    </xf>
    <xf numFmtId="49" fontId="0" fillId="0" borderId="62" xfId="0" applyNumberFormat="1" applyBorder="1" applyAlignment="1">
      <alignment vertical="center"/>
    </xf>
    <xf numFmtId="49" fontId="0" fillId="0" borderId="18" xfId="0" applyNumberFormat="1" applyBorder="1" applyAlignment="1">
      <alignment vertical="center"/>
    </xf>
    <xf numFmtId="49" fontId="0" fillId="0" borderId="63" xfId="0" applyNumberFormat="1" applyBorder="1" applyAlignment="1">
      <alignment vertical="center"/>
    </xf>
    <xf numFmtId="49" fontId="0" fillId="0" borderId="73" xfId="0" applyNumberFormat="1" applyBorder="1" applyAlignment="1">
      <alignment vertical="center"/>
    </xf>
    <xf numFmtId="49" fontId="0" fillId="0" borderId="52" xfId="0" applyNumberFormat="1" applyBorder="1" applyAlignment="1">
      <alignment vertical="center"/>
    </xf>
    <xf numFmtId="49" fontId="0" fillId="0" borderId="74" xfId="0" applyNumberFormat="1" applyBorder="1" applyAlignment="1">
      <alignment vertical="center"/>
    </xf>
    <xf numFmtId="0" fontId="0" fillId="0" borderId="21" xfId="0" applyNumberFormat="1" applyBorder="1" applyAlignment="1">
      <alignment horizontal="center" vertical="center"/>
    </xf>
    <xf numFmtId="0" fontId="0" fillId="0" borderId="22" xfId="0" applyNumberFormat="1" applyBorder="1" applyAlignment="1">
      <alignment horizontal="center" vertical="center"/>
    </xf>
    <xf numFmtId="0" fontId="0" fillId="0" borderId="0" xfId="0" applyBorder="1" applyAlignment="1" applyProtection="1">
      <alignment horizontal="center" vertical="center" wrapText="1"/>
    </xf>
    <xf numFmtId="9" fontId="0" fillId="0" borderId="0" xfId="4" applyFont="1" applyFill="1" applyBorder="1" applyAlignment="1" applyProtection="1">
      <alignment horizontal="center" vertical="center" wrapText="1"/>
    </xf>
    <xf numFmtId="6" fontId="0" fillId="0" borderId="0" xfId="0" applyNumberFormat="1" applyBorder="1" applyAlignment="1" applyProtection="1">
      <alignment horizontal="center" vertical="top"/>
    </xf>
    <xf numFmtId="6" fontId="0" fillId="0" borderId="18" xfId="0" applyNumberFormat="1" applyBorder="1" applyAlignment="1" applyProtection="1">
      <alignment horizontal="center" vertical="top"/>
    </xf>
    <xf numFmtId="0" fontId="0" fillId="0" borderId="1" xfId="0" applyNumberFormat="1" applyBorder="1" applyAlignment="1" applyProtection="1">
      <alignment horizontal="center" vertical="center"/>
    </xf>
    <xf numFmtId="6" fontId="0" fillId="0" borderId="63" xfId="0" applyNumberFormat="1" applyBorder="1" applyAlignment="1" applyProtection="1">
      <alignment horizontal="right" vertical="center"/>
    </xf>
    <xf numFmtId="0" fontId="0" fillId="0" borderId="6" xfId="0" applyNumberFormat="1" applyFill="1" applyBorder="1" applyAlignment="1" applyProtection="1">
      <alignment horizontal="right" vertical="center"/>
    </xf>
    <xf numFmtId="9" fontId="12" fillId="6" borderId="54" xfId="4" applyFont="1" applyFill="1" applyBorder="1" applyAlignment="1">
      <alignment horizontal="center" vertical="center"/>
    </xf>
    <xf numFmtId="9" fontId="12" fillId="6" borderId="55" xfId="4" applyFont="1" applyFill="1" applyBorder="1" applyAlignment="1">
      <alignment horizontal="center" vertical="center"/>
    </xf>
    <xf numFmtId="0" fontId="0" fillId="0" borderId="0" xfId="0" applyNumberFormat="1" applyBorder="1" applyAlignment="1" applyProtection="1">
      <alignment vertical="center"/>
    </xf>
    <xf numFmtId="0" fontId="0" fillId="0" borderId="5" xfId="0" applyNumberFormat="1" applyBorder="1" applyAlignment="1" applyProtection="1">
      <alignment horizontal="right" vertical="center" indent="1"/>
    </xf>
    <xf numFmtId="0" fontId="4" fillId="0" borderId="0" xfId="0" applyFont="1" applyBorder="1" applyAlignment="1" applyProtection="1">
      <alignment horizontal="right" vertical="center"/>
    </xf>
    <xf numFmtId="38" fontId="0" fillId="0" borderId="62" xfId="0" applyNumberFormat="1" applyBorder="1" applyAlignment="1" applyProtection="1">
      <alignment horizontal="center" vertical="center"/>
    </xf>
    <xf numFmtId="38" fontId="2" fillId="0" borderId="65" xfId="0" applyNumberFormat="1" applyFont="1" applyBorder="1" applyAlignment="1" applyProtection="1">
      <alignment horizontal="center" vertical="center"/>
    </xf>
    <xf numFmtId="6" fontId="2" fillId="0" borderId="67" xfId="0" applyNumberFormat="1" applyFont="1" applyBorder="1" applyAlignment="1" applyProtection="1">
      <alignment horizontal="right" vertical="center"/>
    </xf>
    <xf numFmtId="0" fontId="0" fillId="0" borderId="13" xfId="0" applyNumberFormat="1" applyBorder="1" applyAlignment="1" applyProtection="1">
      <alignment horizontal="right" vertical="center" indent="1"/>
    </xf>
    <xf numFmtId="0" fontId="0" fillId="0" borderId="2" xfId="0" applyNumberFormat="1" applyBorder="1" applyAlignment="1" applyProtection="1">
      <alignment horizontal="right" vertical="center"/>
    </xf>
    <xf numFmtId="0" fontId="0" fillId="0" borderId="2" xfId="0" applyNumberFormat="1" applyBorder="1" applyAlignment="1" applyProtection="1">
      <alignment horizontal="right" vertical="center" indent="1"/>
    </xf>
    <xf numFmtId="0" fontId="0" fillId="0" borderId="50" xfId="0" applyNumberFormat="1" applyFill="1" applyBorder="1" applyAlignment="1" applyProtection="1">
      <alignment horizontal="right" vertical="center"/>
    </xf>
    <xf numFmtId="38" fontId="0" fillId="0" borderId="69" xfId="0" applyNumberFormat="1" applyBorder="1" applyAlignment="1" applyProtection="1">
      <alignment horizontal="center" vertical="center"/>
    </xf>
    <xf numFmtId="6" fontId="0" fillId="0" borderId="17" xfId="0" applyNumberFormat="1" applyBorder="1" applyAlignment="1" applyProtection="1">
      <alignment horizontal="center" vertical="top"/>
    </xf>
    <xf numFmtId="6" fontId="0" fillId="0" borderId="70" xfId="0" applyNumberFormat="1" applyBorder="1" applyAlignment="1" applyProtection="1">
      <alignment horizontal="right" vertical="center"/>
    </xf>
    <xf numFmtId="0" fontId="0" fillId="0" borderId="2" xfId="0" applyNumberFormat="1" applyBorder="1" applyAlignment="1" applyProtection="1">
      <alignment horizontal="center" vertical="center"/>
    </xf>
    <xf numFmtId="38" fontId="0" fillId="0" borderId="16" xfId="0" applyNumberFormat="1" applyBorder="1" applyAlignment="1" applyProtection="1">
      <alignment horizontal="center" vertical="center"/>
    </xf>
    <xf numFmtId="6" fontId="0" fillId="0" borderId="42" xfId="0" applyNumberFormat="1" applyBorder="1" applyAlignment="1" applyProtection="1">
      <alignment horizontal="right" vertical="center"/>
    </xf>
    <xf numFmtId="0" fontId="103" fillId="0" borderId="66" xfId="0" applyFont="1" applyBorder="1" applyAlignment="1" applyProtection="1">
      <alignment horizontal="right" vertical="center"/>
    </xf>
    <xf numFmtId="0" fontId="0" fillId="0" borderId="0" xfId="0" applyAlignment="1">
      <alignment horizontal="left" vertical="center"/>
    </xf>
    <xf numFmtId="0" fontId="0" fillId="0" borderId="0" xfId="0" applyAlignment="1">
      <alignment horizontal="left" vertical="top" wrapText="1"/>
    </xf>
    <xf numFmtId="0" fontId="0" fillId="0" borderId="0" xfId="0" applyBorder="1" applyAlignment="1" applyProtection="1">
      <alignment vertical="top" wrapText="1"/>
    </xf>
    <xf numFmtId="0" fontId="2" fillId="0" borderId="0" xfId="0" applyNumberFormat="1" applyFont="1" applyBorder="1" applyAlignment="1" applyProtection="1">
      <alignment horizontal="left" vertical="top"/>
    </xf>
    <xf numFmtId="0" fontId="12" fillId="2" borderId="20"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protection locked="0"/>
    </xf>
    <xf numFmtId="0" fontId="12" fillId="2" borderId="22" xfId="0" applyFont="1" applyFill="1" applyBorder="1" applyAlignment="1" applyProtection="1">
      <alignment horizontal="center" vertical="center"/>
      <protection locked="0"/>
    </xf>
    <xf numFmtId="0" fontId="0" fillId="0" borderId="0" xfId="0" applyNumberFormat="1" applyBorder="1" applyProtection="1"/>
    <xf numFmtId="0" fontId="0" fillId="0" borderId="17" xfId="0" applyBorder="1" applyAlignment="1">
      <alignment horizontal="left"/>
    </xf>
    <xf numFmtId="6" fontId="4" fillId="0" borderId="28" xfId="0" applyNumberFormat="1" applyFont="1" applyBorder="1" applyAlignment="1" applyProtection="1">
      <alignment horizontal="right" vertical="center"/>
    </xf>
    <xf numFmtId="6" fontId="4" fillId="0" borderId="28" xfId="0" quotePrefix="1" applyNumberFormat="1" applyFont="1" applyBorder="1" applyAlignment="1" applyProtection="1">
      <alignment horizontal="right" vertical="center"/>
    </xf>
    <xf numFmtId="0" fontId="0" fillId="0" borderId="0" xfId="0" applyAlignment="1">
      <alignment horizontal="left" vertical="center"/>
    </xf>
    <xf numFmtId="0" fontId="0" fillId="0" borderId="0" xfId="0" applyBorder="1" applyAlignment="1" applyProtection="1">
      <alignment vertical="center"/>
    </xf>
    <xf numFmtId="38" fontId="4" fillId="0" borderId="0" xfId="0" applyNumberFormat="1" applyFont="1" applyBorder="1" applyAlignment="1" applyProtection="1">
      <alignment horizontal="center" vertical="center"/>
    </xf>
    <xf numFmtId="0" fontId="0" fillId="0" borderId="17" xfId="0" applyBorder="1" applyAlignment="1" applyProtection="1">
      <alignment horizontal="left" vertical="center"/>
    </xf>
    <xf numFmtId="0" fontId="0" fillId="0" borderId="0" xfId="0" applyBorder="1" applyAlignment="1" applyProtection="1">
      <alignment horizontal="left" vertical="center"/>
    </xf>
    <xf numFmtId="0" fontId="104" fillId="0" borderId="0" xfId="0" applyFont="1" applyAlignment="1">
      <alignment horizontal="center" vertical="center"/>
    </xf>
    <xf numFmtId="0" fontId="0" fillId="0" borderId="0" xfId="0" applyAlignment="1">
      <alignment horizontal="left" vertical="top"/>
    </xf>
    <xf numFmtId="0" fontId="12" fillId="6" borderId="17" xfId="0" applyFont="1" applyFill="1" applyBorder="1" applyAlignment="1">
      <alignment horizontal="left"/>
    </xf>
    <xf numFmtId="0" fontId="0" fillId="0" borderId="0" xfId="0" applyBorder="1" applyAlignment="1" applyProtection="1">
      <alignment horizontal="left" vertical="center"/>
    </xf>
    <xf numFmtId="0" fontId="0" fillId="0" borderId="0" xfId="0" applyAlignment="1" applyProtection="1">
      <alignment horizontal="left" vertical="center"/>
    </xf>
    <xf numFmtId="0" fontId="4" fillId="0" borderId="0" xfId="0" quotePrefix="1" applyFont="1"/>
    <xf numFmtId="6" fontId="0" fillId="0" borderId="28" xfId="0" applyNumberFormat="1" applyBorder="1" applyAlignment="1" applyProtection="1">
      <alignment vertical="center"/>
    </xf>
    <xf numFmtId="6" fontId="0" fillId="0" borderId="0" xfId="0" applyNumberFormat="1" applyBorder="1" applyAlignment="1" applyProtection="1">
      <alignment vertical="center"/>
    </xf>
    <xf numFmtId="0" fontId="3" fillId="0" borderId="0" xfId="0" applyFont="1" applyProtection="1"/>
    <xf numFmtId="178" fontId="12" fillId="6" borderId="54" xfId="0" applyNumberFormat="1" applyFont="1" applyFill="1" applyBorder="1" applyAlignment="1" applyProtection="1">
      <alignment horizontal="center" vertical="center" wrapText="1"/>
    </xf>
    <xf numFmtId="0" fontId="19" fillId="0" borderId="5" xfId="0" applyFont="1" applyBorder="1" applyAlignment="1" applyProtection="1">
      <alignment vertical="center" wrapText="1"/>
    </xf>
    <xf numFmtId="0" fontId="106" fillId="0" borderId="42" xfId="0" applyFont="1" applyBorder="1" applyAlignment="1" applyProtection="1">
      <alignment vertical="center" wrapText="1"/>
    </xf>
    <xf numFmtId="167" fontId="2" fillId="0" borderId="0" xfId="0" applyNumberFormat="1" applyFont="1" applyBorder="1" applyAlignment="1" applyProtection="1">
      <alignment horizontal="left" vertical="center"/>
    </xf>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center"/>
    </xf>
    <xf numFmtId="179" fontId="12" fillId="6" borderId="54" xfId="0" applyNumberFormat="1" applyFont="1" applyFill="1" applyBorder="1" applyAlignment="1" applyProtection="1">
      <alignment horizontal="center" vertical="center" wrapText="1"/>
    </xf>
    <xf numFmtId="0" fontId="0" fillId="0" borderId="0" xfId="0" applyBorder="1" applyAlignment="1" applyProtection="1">
      <alignment vertical="top" wrapText="1"/>
    </xf>
    <xf numFmtId="3" fontId="12" fillId="6" borderId="54" xfId="0" applyNumberFormat="1" applyFont="1" applyFill="1" applyBorder="1" applyAlignment="1" applyProtection="1">
      <alignment horizontal="center" vertical="center" wrapText="1"/>
    </xf>
    <xf numFmtId="0" fontId="2" fillId="0" borderId="0" xfId="0" applyNumberFormat="1" applyFont="1" applyBorder="1" applyAlignment="1" applyProtection="1">
      <alignment vertical="top"/>
    </xf>
    <xf numFmtId="38" fontId="4" fillId="0" borderId="7" xfId="0" applyNumberFormat="1" applyFont="1" applyFill="1" applyBorder="1" applyAlignment="1" applyProtection="1">
      <alignment horizontal="center" vertical="center"/>
    </xf>
    <xf numFmtId="0" fontId="10" fillId="0" borderId="7" xfId="0" applyFont="1" applyFill="1" applyBorder="1" applyAlignment="1" applyProtection="1">
      <alignment horizontal="center" vertical="center"/>
    </xf>
    <xf numFmtId="38" fontId="12" fillId="6" borderId="54" xfId="0" applyNumberFormat="1" applyFont="1" applyFill="1" applyBorder="1" applyAlignment="1" applyProtection="1">
      <alignment horizontal="center" vertical="center"/>
    </xf>
    <xf numFmtId="0" fontId="0" fillId="0" borderId="0" xfId="0" applyFill="1" applyBorder="1" applyAlignment="1" applyProtection="1"/>
    <xf numFmtId="0" fontId="0" fillId="0" borderId="0" xfId="0" quotePrefix="1" applyAlignment="1" applyProtection="1">
      <alignment vertical="center"/>
    </xf>
    <xf numFmtId="0" fontId="0" fillId="0" borderId="0" xfId="0" applyFill="1" applyAlignment="1" applyProtection="1"/>
    <xf numFmtId="0" fontId="0" fillId="0" borderId="0" xfId="0" applyAlignment="1">
      <alignment horizontal="left" vertical="center" wrapText="1"/>
    </xf>
    <xf numFmtId="0" fontId="0" fillId="0" borderId="0" xfId="0" applyAlignment="1">
      <alignment horizontal="left" vertical="center"/>
    </xf>
    <xf numFmtId="0" fontId="0" fillId="0" borderId="0" xfId="0" applyBorder="1" applyAlignment="1" applyProtection="1">
      <alignment horizontal="left" vertical="center" wrapText="1"/>
    </xf>
    <xf numFmtId="0" fontId="0" fillId="0" borderId="0" xfId="0" applyBorder="1" applyAlignment="1" applyProtection="1">
      <alignment vertical="center"/>
    </xf>
    <xf numFmtId="0" fontId="0" fillId="0" borderId="0" xfId="0" applyBorder="1" applyAlignment="1" applyProtection="1">
      <alignment horizontal="left" vertical="center"/>
    </xf>
    <xf numFmtId="0" fontId="0" fillId="0" borderId="0" xfId="0" applyFont="1" applyBorder="1" applyAlignment="1" applyProtection="1">
      <alignment horizontal="left" vertical="center" wrapText="1"/>
    </xf>
    <xf numFmtId="0" fontId="2" fillId="0" borderId="0" xfId="0" applyFont="1" applyBorder="1" applyAlignment="1" applyProtection="1">
      <alignment horizontal="center" vertical="center" wrapText="1"/>
    </xf>
    <xf numFmtId="0" fontId="0" fillId="7" borderId="54" xfId="0" applyFill="1" applyBorder="1"/>
    <xf numFmtId="0" fontId="2" fillId="0" borderId="17" xfId="0" applyFont="1" applyBorder="1"/>
    <xf numFmtId="0" fontId="0" fillId="0" borderId="0" xfId="0" applyAlignment="1"/>
    <xf numFmtId="0" fontId="12" fillId="6" borderId="54" xfId="0" applyFont="1" applyFill="1" applyBorder="1" applyAlignment="1">
      <alignment vertical="center"/>
    </xf>
    <xf numFmtId="180" fontId="12" fillId="6" borderId="54" xfId="0" applyNumberFormat="1" applyFont="1" applyFill="1" applyBorder="1" applyAlignment="1">
      <alignment horizontal="center" vertical="center"/>
    </xf>
    <xf numFmtId="40" fontId="12" fillId="6" borderId="54" xfId="0" applyNumberFormat="1" applyFont="1" applyFill="1" applyBorder="1" applyAlignment="1">
      <alignment horizontal="center" vertical="center"/>
    </xf>
    <xf numFmtId="181" fontId="12" fillId="6" borderId="54" xfId="0" applyNumberFormat="1" applyFont="1" applyFill="1" applyBorder="1" applyAlignment="1">
      <alignment horizontal="center" vertical="center"/>
    </xf>
    <xf numFmtId="180" fontId="4" fillId="0" borderId="54" xfId="0" applyNumberFormat="1" applyFont="1" applyFill="1" applyBorder="1" applyAlignment="1">
      <alignment horizontal="center" vertical="center"/>
    </xf>
    <xf numFmtId="6" fontId="0" fillId="0" borderId="1" xfId="0" applyNumberFormat="1" applyBorder="1" applyAlignment="1" applyProtection="1">
      <alignment vertical="center"/>
    </xf>
    <xf numFmtId="0" fontId="7" fillId="0" borderId="0" xfId="2" applyBorder="1"/>
    <xf numFmtId="0" fontId="32" fillId="0" borderId="0" xfId="2" applyFont="1" applyBorder="1" applyAlignment="1">
      <alignment horizontal="center" vertical="center" wrapText="1"/>
    </xf>
    <xf numFmtId="0" fontId="7" fillId="0" borderId="0" xfId="2" applyBorder="1" applyAlignment="1">
      <alignment horizontal="right" vertical="center" wrapText="1"/>
    </xf>
    <xf numFmtId="10" fontId="0" fillId="0" borderId="0" xfId="3" applyNumberFormat="1" applyFont="1" applyFill="1" applyBorder="1" applyAlignment="1" applyProtection="1">
      <alignment horizontal="center" vertical="center"/>
    </xf>
    <xf numFmtId="0" fontId="73" fillId="0" borderId="0" xfId="2" applyFont="1" applyBorder="1" applyAlignment="1">
      <alignment horizontal="center" vertical="center" wrapText="1"/>
    </xf>
    <xf numFmtId="0" fontId="0" fillId="0" borderId="28" xfId="0" applyBorder="1"/>
    <xf numFmtId="0" fontId="0" fillId="0" borderId="28" xfId="0" applyBorder="1" applyAlignment="1">
      <alignment horizontal="center"/>
    </xf>
    <xf numFmtId="40" fontId="12" fillId="6" borderId="28" xfId="0" applyNumberFormat="1" applyFont="1" applyFill="1" applyBorder="1" applyAlignment="1">
      <alignment horizontal="center" vertical="center"/>
    </xf>
    <xf numFmtId="0" fontId="0" fillId="0" borderId="0" xfId="0" applyAlignment="1">
      <alignment horizontal="left" vertical="center"/>
    </xf>
    <xf numFmtId="0" fontId="0" fillId="0" borderId="0" xfId="0" applyBorder="1" applyAlignment="1" applyProtection="1">
      <alignment vertical="center"/>
    </xf>
    <xf numFmtId="182" fontId="4" fillId="0" borderId="7" xfId="0" applyNumberFormat="1" applyFont="1" applyBorder="1" applyAlignment="1">
      <alignment horizontal="center" vertical="center"/>
    </xf>
    <xf numFmtId="183" fontId="4" fillId="0" borderId="53" xfId="0" applyNumberFormat="1" applyFont="1" applyBorder="1" applyAlignment="1">
      <alignment horizontal="center" vertical="center"/>
    </xf>
    <xf numFmtId="0" fontId="3" fillId="0" borderId="0" xfId="0" applyFont="1"/>
    <xf numFmtId="0" fontId="0" fillId="0" borderId="17" xfId="0" applyBorder="1" applyAlignment="1">
      <alignment vertical="center"/>
    </xf>
    <xf numFmtId="6" fontId="0" fillId="0" borderId="2" xfId="0" applyNumberFormat="1" applyBorder="1" applyAlignment="1" applyProtection="1">
      <alignment vertical="center"/>
    </xf>
    <xf numFmtId="0" fontId="0" fillId="0" borderId="51" xfId="0" applyBorder="1" applyAlignment="1">
      <alignment vertical="center"/>
    </xf>
    <xf numFmtId="0" fontId="0" fillId="0" borderId="0" xfId="0" applyBorder="1" applyAlignment="1">
      <alignment horizontal="left" vertical="center"/>
    </xf>
    <xf numFmtId="0" fontId="0" fillId="0" borderId="76" xfId="0" applyBorder="1" applyAlignment="1" applyProtection="1">
      <alignment vertical="center"/>
    </xf>
    <xf numFmtId="0" fontId="0" fillId="0" borderId="76" xfId="0" applyBorder="1" applyProtection="1"/>
    <xf numFmtId="38" fontId="4" fillId="0" borderId="0" xfId="0" applyNumberFormat="1" applyFont="1" applyAlignment="1">
      <alignment horizontal="center" vertical="center"/>
    </xf>
    <xf numFmtId="0" fontId="0" fillId="0" borderId="28" xfId="0" applyNumberFormat="1" applyBorder="1" applyAlignment="1" applyProtection="1">
      <alignment horizontal="right" vertical="center"/>
    </xf>
    <xf numFmtId="0" fontId="108" fillId="0" borderId="0" xfId="0" applyFont="1"/>
    <xf numFmtId="0" fontId="108" fillId="0" borderId="0" xfId="0" applyFont="1" applyAlignment="1">
      <alignment vertical="center"/>
    </xf>
    <xf numFmtId="0" fontId="4" fillId="0" borderId="0" xfId="0" applyFont="1" applyBorder="1" applyAlignment="1" applyProtection="1">
      <alignment horizontal="right"/>
    </xf>
    <xf numFmtId="168" fontId="2" fillId="0" borderId="0" xfId="0" applyNumberFormat="1" applyFont="1" applyBorder="1" applyAlignment="1" applyProtection="1">
      <alignment vertical="top"/>
    </xf>
    <xf numFmtId="168" fontId="2" fillId="0" borderId="0" xfId="0" applyNumberFormat="1" applyFont="1" applyBorder="1" applyAlignment="1" applyProtection="1">
      <alignment horizontal="right" vertical="top" wrapText="1"/>
    </xf>
    <xf numFmtId="0" fontId="108" fillId="0" borderId="0" xfId="0" applyFont="1" applyFill="1" applyBorder="1" applyAlignment="1" applyProtection="1">
      <alignment horizontal="center" vertical="center"/>
    </xf>
    <xf numFmtId="0" fontId="0" fillId="0" borderId="21" xfId="0" applyNumberFormat="1" applyFill="1" applyBorder="1" applyAlignment="1">
      <alignment horizontal="center" vertical="center"/>
    </xf>
    <xf numFmtId="0" fontId="6" fillId="0" borderId="0" xfId="0" applyFont="1" applyAlignment="1">
      <alignment horizontal="center"/>
    </xf>
    <xf numFmtId="0" fontId="7" fillId="0" borderId="0" xfId="2" applyFill="1"/>
    <xf numFmtId="38" fontId="4" fillId="0" borderId="0" xfId="0" applyNumberFormat="1" applyFont="1" applyBorder="1" applyAlignment="1" applyProtection="1">
      <alignment horizontal="center" vertical="center"/>
    </xf>
    <xf numFmtId="0" fontId="0" fillId="0" borderId="0" xfId="0" applyBorder="1" applyAlignment="1" applyProtection="1">
      <alignment vertical="center"/>
    </xf>
    <xf numFmtId="0" fontId="0" fillId="0" borderId="0" xfId="0" applyBorder="1" applyAlignment="1" applyProtection="1">
      <alignment horizontal="left" vertical="center"/>
    </xf>
    <xf numFmtId="0" fontId="0" fillId="10" borderId="0" xfId="0" applyFill="1" applyBorder="1" applyProtection="1"/>
    <xf numFmtId="0" fontId="0" fillId="0" borderId="0" xfId="0" applyAlignment="1">
      <alignment horizontal="right" vertical="top"/>
    </xf>
    <xf numFmtId="0" fontId="4" fillId="0" borderId="0" xfId="0" applyFont="1" applyFill="1" applyBorder="1" applyAlignment="1" applyProtection="1">
      <alignment horizontal="left" vertical="center" wrapText="1"/>
    </xf>
    <xf numFmtId="0" fontId="111" fillId="0" borderId="0" xfId="0" applyFont="1"/>
    <xf numFmtId="184" fontId="12" fillId="6" borderId="75" xfId="0" applyNumberFormat="1" applyFont="1" applyFill="1" applyBorder="1" applyAlignment="1">
      <alignment horizontal="center" vertical="center"/>
    </xf>
    <xf numFmtId="0" fontId="12" fillId="6" borderId="77" xfId="0" applyFont="1" applyFill="1" applyBorder="1" applyAlignment="1">
      <alignment horizontal="center" vertical="center"/>
    </xf>
    <xf numFmtId="9" fontId="12" fillId="6" borderId="77" xfId="0" applyNumberFormat="1" applyFont="1" applyFill="1" applyBorder="1" applyAlignment="1">
      <alignment horizontal="center" vertical="center"/>
    </xf>
    <xf numFmtId="0" fontId="0" fillId="0" borderId="0" xfId="0" applyBorder="1" applyAlignment="1" applyProtection="1">
      <alignment horizontal="left" vertical="center"/>
    </xf>
    <xf numFmtId="49" fontId="0" fillId="13" borderId="0" xfId="0" applyNumberFormat="1" applyFill="1" applyAlignment="1">
      <alignment horizontal="center" vertical="center"/>
    </xf>
    <xf numFmtId="0" fontId="0" fillId="13" borderId="0" xfId="0" applyFill="1" applyAlignment="1">
      <alignment vertical="center"/>
    </xf>
    <xf numFmtId="0" fontId="0" fillId="13" borderId="0" xfId="0" applyNumberFormat="1" applyFill="1" applyBorder="1" applyAlignment="1">
      <alignment horizontal="center" vertical="center"/>
    </xf>
    <xf numFmtId="0" fontId="0" fillId="13" borderId="0" xfId="0" applyFill="1" applyBorder="1" applyAlignment="1">
      <alignment vertical="center"/>
    </xf>
    <xf numFmtId="0" fontId="0" fillId="13" borderId="0" xfId="0" applyNumberFormat="1" applyFill="1" applyAlignment="1">
      <alignment vertical="center"/>
    </xf>
    <xf numFmtId="0" fontId="14" fillId="13" borderId="0" xfId="0" applyFont="1" applyFill="1" applyBorder="1" applyAlignment="1">
      <alignment vertical="center"/>
    </xf>
    <xf numFmtId="0" fontId="0" fillId="13" borderId="0" xfId="0" applyFill="1" applyAlignment="1">
      <alignment horizontal="right" vertical="center"/>
    </xf>
    <xf numFmtId="0" fontId="112" fillId="0" borderId="0" xfId="2" applyFont="1"/>
    <xf numFmtId="38" fontId="4" fillId="0" borderId="0" xfId="0" quotePrefix="1" applyNumberFormat="1" applyFont="1" applyFill="1" applyBorder="1" applyAlignment="1" applyProtection="1">
      <alignment horizontal="center" vertical="center"/>
    </xf>
    <xf numFmtId="38" fontId="12" fillId="6" borderId="55" xfId="0" applyNumberFormat="1" applyFont="1" applyFill="1" applyBorder="1" applyAlignment="1" applyProtection="1">
      <alignment horizontal="center" vertical="center"/>
    </xf>
    <xf numFmtId="0" fontId="12" fillId="0" borderId="0" xfId="0" applyFont="1" applyFill="1" applyBorder="1" applyAlignment="1" applyProtection="1">
      <alignment horizontal="left" vertical="center"/>
    </xf>
    <xf numFmtId="44" fontId="102" fillId="0" borderId="0" xfId="1" applyFont="1" applyFill="1" applyBorder="1" applyAlignment="1" applyProtection="1">
      <alignment horizontal="right" vertical="center"/>
    </xf>
    <xf numFmtId="44" fontId="100" fillId="0" borderId="0" xfId="1" applyFont="1" applyFill="1" applyBorder="1" applyAlignment="1" applyProtection="1">
      <alignment horizontal="left" vertical="center"/>
    </xf>
    <xf numFmtId="3" fontId="12" fillId="6" borderId="54" xfId="0" applyNumberFormat="1" applyFont="1" applyFill="1" applyBorder="1" applyAlignment="1" applyProtection="1">
      <alignment horizontal="center" vertical="center"/>
    </xf>
    <xf numFmtId="38" fontId="4" fillId="0" borderId="0" xfId="0" applyNumberFormat="1" applyFont="1" applyFill="1" applyBorder="1" applyAlignment="1" applyProtection="1">
      <alignment vertical="center"/>
    </xf>
    <xf numFmtId="38" fontId="4" fillId="0" borderId="54" xfId="0" applyNumberFormat="1" applyFont="1" applyFill="1" applyBorder="1" applyAlignment="1" applyProtection="1">
      <alignment horizontal="center" vertical="center"/>
    </xf>
    <xf numFmtId="177" fontId="12" fillId="6" borderId="54" xfId="0" applyNumberFormat="1" applyFont="1" applyFill="1" applyBorder="1" applyAlignment="1" applyProtection="1">
      <alignment horizontal="center" vertical="center"/>
    </xf>
    <xf numFmtId="0" fontId="0" fillId="10" borderId="21" xfId="0" quotePrefix="1" applyNumberFormat="1" applyFill="1" applyBorder="1" applyAlignment="1">
      <alignment horizontal="center" vertical="center"/>
    </xf>
    <xf numFmtId="0" fontId="0" fillId="0" borderId="0" xfId="0" applyBorder="1" applyAlignment="1" applyProtection="1">
      <alignment horizontal="left" vertical="top"/>
    </xf>
    <xf numFmtId="0" fontId="0" fillId="0" borderId="0" xfId="0" applyFont="1" applyBorder="1" applyAlignment="1" applyProtection="1">
      <alignment horizontal="left" vertical="center"/>
    </xf>
    <xf numFmtId="0" fontId="0" fillId="0" borderId="0" xfId="0" applyFont="1" applyBorder="1" applyAlignment="1" applyProtection="1">
      <alignment horizontal="left" vertical="center" wrapText="1"/>
    </xf>
    <xf numFmtId="0" fontId="0" fillId="0" borderId="0" xfId="0" applyFont="1" applyBorder="1" applyAlignment="1" applyProtection="1">
      <alignment horizontal="center" vertical="top"/>
    </xf>
    <xf numFmtId="0" fontId="0" fillId="0" borderId="62" xfId="0" applyFont="1" applyBorder="1" applyAlignment="1" applyProtection="1">
      <alignment horizontal="left" vertical="center"/>
    </xf>
    <xf numFmtId="0" fontId="0" fillId="0" borderId="18" xfId="0" applyFont="1" applyBorder="1" applyAlignment="1" applyProtection="1">
      <alignment horizontal="left" vertical="center"/>
    </xf>
    <xf numFmtId="0" fontId="0" fillId="12" borderId="18" xfId="0" applyFont="1" applyFill="1" applyBorder="1" applyAlignment="1" applyProtection="1">
      <alignment horizontal="center" vertical="center" wrapText="1"/>
    </xf>
    <xf numFmtId="0" fontId="0" fillId="0" borderId="69" xfId="0" applyFont="1" applyBorder="1" applyAlignment="1" applyProtection="1">
      <alignment horizontal="left" vertical="center"/>
    </xf>
    <xf numFmtId="0" fontId="0" fillId="0" borderId="17" xfId="0" applyFont="1" applyBorder="1" applyAlignment="1" applyProtection="1">
      <alignment horizontal="left" vertical="center"/>
    </xf>
    <xf numFmtId="0" fontId="0" fillId="12" borderId="17" xfId="0" applyFont="1" applyFill="1" applyBorder="1" applyAlignment="1" applyProtection="1">
      <alignment horizontal="center" vertical="center" wrapText="1"/>
    </xf>
    <xf numFmtId="0" fontId="0" fillId="0" borderId="16" xfId="0" applyFont="1" applyBorder="1" applyAlignment="1" applyProtection="1">
      <alignment horizontal="left" vertical="center"/>
    </xf>
    <xf numFmtId="0" fontId="0" fillId="0" borderId="42" xfId="0" applyFont="1" applyBorder="1" applyAlignment="1" applyProtection="1">
      <alignment horizontal="center" vertical="center" wrapText="1"/>
    </xf>
    <xf numFmtId="0" fontId="2" fillId="0" borderId="56" xfId="0" applyFont="1" applyBorder="1" applyAlignment="1" applyProtection="1">
      <alignment vertical="top"/>
    </xf>
    <xf numFmtId="0" fontId="2" fillId="0" borderId="57" xfId="0" applyFont="1" applyBorder="1" applyAlignment="1" applyProtection="1">
      <alignment vertical="top"/>
    </xf>
    <xf numFmtId="0" fontId="2" fillId="0" borderId="57" xfId="0" applyFont="1" applyBorder="1" applyAlignment="1" applyProtection="1">
      <alignment horizontal="center" vertical="top"/>
    </xf>
    <xf numFmtId="0" fontId="2" fillId="0" borderId="58" xfId="0" applyFont="1" applyBorder="1" applyAlignment="1" applyProtection="1">
      <alignment horizontal="center" vertical="top"/>
    </xf>
    <xf numFmtId="0" fontId="0" fillId="0" borderId="0" xfId="0" applyFont="1" applyAlignment="1">
      <alignment horizontal="right" vertical="center"/>
    </xf>
    <xf numFmtId="0" fontId="0" fillId="7" borderId="0" xfId="0" applyFill="1" applyBorder="1" applyAlignment="1">
      <alignment vertical="center"/>
    </xf>
    <xf numFmtId="38" fontId="0" fillId="0" borderId="0" xfId="0" applyNumberFormat="1" applyFont="1" applyBorder="1" applyAlignment="1" applyProtection="1">
      <alignment horizontal="center" wrapText="1"/>
    </xf>
    <xf numFmtId="38" fontId="4" fillId="0" borderId="0" xfId="0" applyNumberFormat="1" applyFont="1" applyBorder="1" applyAlignment="1" applyProtection="1">
      <alignment horizontal="center"/>
    </xf>
    <xf numFmtId="38" fontId="0" fillId="0" borderId="0" xfId="0" applyNumberFormat="1" applyBorder="1" applyAlignment="1" applyProtection="1">
      <alignment horizontal="center"/>
    </xf>
    <xf numFmtId="0" fontId="0" fillId="0" borderId="78" xfId="0" applyFont="1" applyBorder="1" applyAlignment="1" applyProtection="1">
      <alignment horizontal="left" vertical="center"/>
    </xf>
    <xf numFmtId="0" fontId="0" fillId="0" borderId="79" xfId="0" applyFont="1" applyBorder="1" applyAlignment="1" applyProtection="1">
      <alignment horizontal="left" vertical="center"/>
    </xf>
    <xf numFmtId="187" fontId="0" fillId="0" borderId="79" xfId="0" applyNumberFormat="1" applyFont="1" applyBorder="1" applyAlignment="1" applyProtection="1">
      <alignment horizontal="center" vertical="center" wrapText="1"/>
    </xf>
    <xf numFmtId="188" fontId="0" fillId="0" borderId="80" xfId="0" applyNumberFormat="1" applyFont="1" applyBorder="1" applyAlignment="1" applyProtection="1">
      <alignment horizontal="center" vertical="center" wrapText="1"/>
    </xf>
    <xf numFmtId="0" fontId="0" fillId="0" borderId="81" xfId="0" applyFont="1" applyBorder="1" applyAlignment="1" applyProtection="1">
      <alignment horizontal="left" vertical="center"/>
    </xf>
    <xf numFmtId="0" fontId="0" fillId="0" borderId="51" xfId="0" applyFont="1" applyBorder="1" applyAlignment="1" applyProtection="1">
      <alignment horizontal="left" vertical="center"/>
    </xf>
    <xf numFmtId="0" fontId="0" fillId="12" borderId="51" xfId="0" applyFont="1" applyFill="1" applyBorder="1" applyAlignment="1" applyProtection="1">
      <alignment horizontal="center" vertical="center" wrapText="1"/>
    </xf>
    <xf numFmtId="0" fontId="0" fillId="0" borderId="83" xfId="0" applyFont="1" applyBorder="1" applyAlignment="1" applyProtection="1">
      <alignment horizontal="left" vertical="center"/>
    </xf>
    <xf numFmtId="0" fontId="0" fillId="0" borderId="84" xfId="0" applyFont="1" applyBorder="1" applyAlignment="1" applyProtection="1">
      <alignment horizontal="left" vertical="center"/>
    </xf>
    <xf numFmtId="0" fontId="0" fillId="12" borderId="84" xfId="0" applyFont="1" applyFill="1" applyBorder="1" applyAlignment="1" applyProtection="1">
      <alignment horizontal="center" vertical="center" wrapText="1"/>
    </xf>
    <xf numFmtId="38" fontId="0" fillId="0" borderId="85" xfId="0" applyNumberFormat="1" applyFont="1" applyBorder="1" applyAlignment="1" applyProtection="1">
      <alignment horizontal="center" vertical="center"/>
    </xf>
    <xf numFmtId="6" fontId="0" fillId="0" borderId="70" xfId="0" applyNumberFormat="1" applyFont="1" applyBorder="1" applyAlignment="1" applyProtection="1">
      <alignment horizontal="center" vertical="center"/>
    </xf>
    <xf numFmtId="6" fontId="0" fillId="0" borderId="85" xfId="0" applyNumberFormat="1" applyFont="1" applyBorder="1" applyAlignment="1" applyProtection="1">
      <alignment horizontal="center" vertical="center"/>
    </xf>
    <xf numFmtId="189" fontId="0" fillId="0" borderId="63" xfId="0" applyNumberFormat="1" applyFont="1" applyBorder="1" applyAlignment="1" applyProtection="1">
      <alignment horizontal="center" vertical="center"/>
    </xf>
    <xf numFmtId="0" fontId="0" fillId="0" borderId="86" xfId="0" applyFont="1" applyBorder="1" applyAlignment="1" applyProtection="1">
      <alignment horizontal="left" vertical="center"/>
    </xf>
    <xf numFmtId="0" fontId="0" fillId="0" borderId="75" xfId="0" applyFont="1" applyBorder="1" applyAlignment="1" applyProtection="1">
      <alignment horizontal="left" vertical="center"/>
    </xf>
    <xf numFmtId="0" fontId="0" fillId="12" borderId="75" xfId="0" applyFont="1" applyFill="1" applyBorder="1" applyAlignment="1" applyProtection="1">
      <alignment horizontal="center" vertical="center" wrapText="1"/>
    </xf>
    <xf numFmtId="0" fontId="0" fillId="0" borderId="87" xfId="0" applyFont="1" applyBorder="1" applyAlignment="1" applyProtection="1">
      <alignment horizontal="center" vertical="center" wrapText="1"/>
    </xf>
    <xf numFmtId="0" fontId="0" fillId="0" borderId="88" xfId="0" applyFont="1" applyBorder="1" applyAlignment="1" applyProtection="1">
      <alignment horizontal="left" vertical="center"/>
    </xf>
    <xf numFmtId="0" fontId="0" fillId="0" borderId="89" xfId="0" applyFont="1" applyBorder="1" applyAlignment="1" applyProtection="1">
      <alignment horizontal="left" vertical="center"/>
    </xf>
    <xf numFmtId="186" fontId="0" fillId="0" borderId="89" xfId="4" applyNumberFormat="1" applyFont="1" applyBorder="1" applyAlignment="1" applyProtection="1">
      <alignment horizontal="center" vertical="center" wrapText="1"/>
    </xf>
    <xf numFmtId="186" fontId="0" fillId="0" borderId="90" xfId="4" applyNumberFormat="1" applyFont="1" applyBorder="1" applyAlignment="1" applyProtection="1">
      <alignment horizontal="center" vertical="center" wrapText="1"/>
    </xf>
    <xf numFmtId="0" fontId="0" fillId="0" borderId="91" xfId="0" applyFont="1" applyBorder="1" applyAlignment="1" applyProtection="1">
      <alignment horizontal="left" vertical="center"/>
    </xf>
    <xf numFmtId="0" fontId="0" fillId="0" borderId="92" xfId="0" applyFont="1" applyBorder="1" applyAlignment="1" applyProtection="1">
      <alignment horizontal="left" vertical="center"/>
    </xf>
    <xf numFmtId="0" fontId="0" fillId="12" borderId="92" xfId="0" applyFont="1" applyFill="1" applyBorder="1" applyAlignment="1" applyProtection="1">
      <alignment horizontal="center" vertical="center" wrapText="1"/>
    </xf>
    <xf numFmtId="6" fontId="0" fillId="0" borderId="93" xfId="0" applyNumberFormat="1" applyFont="1" applyBorder="1" applyAlignment="1" applyProtection="1">
      <alignment horizontal="center" vertical="center"/>
    </xf>
    <xf numFmtId="164" fontId="0" fillId="0" borderId="82" xfId="4" applyNumberFormat="1" applyFont="1" applyBorder="1" applyAlignment="1" applyProtection="1">
      <alignment horizontal="center" vertical="center"/>
    </xf>
    <xf numFmtId="9" fontId="113" fillId="0" borderId="0" xfId="4" applyFont="1" applyAlignment="1">
      <alignment horizontal="center"/>
    </xf>
    <xf numFmtId="0" fontId="83" fillId="0" borderId="0" xfId="2" applyFont="1" applyAlignment="1">
      <alignment horizontal="left" vertical="center"/>
    </xf>
    <xf numFmtId="38" fontId="4" fillId="0" borderId="0" xfId="0" applyNumberFormat="1" applyFont="1" applyFill="1" applyBorder="1" applyAlignment="1" applyProtection="1">
      <alignment horizontal="center" vertical="center"/>
    </xf>
    <xf numFmtId="0" fontId="0" fillId="0" borderId="0" xfId="0" applyAlignment="1">
      <alignment horizontal="left" vertical="center"/>
    </xf>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center"/>
    </xf>
    <xf numFmtId="0" fontId="0" fillId="0" borderId="0" xfId="0" applyFont="1" applyBorder="1" applyAlignment="1" applyProtection="1">
      <alignment horizontal="left" vertical="top"/>
    </xf>
    <xf numFmtId="0" fontId="81" fillId="0" borderId="0" xfId="2" applyFont="1" applyFill="1" applyAlignment="1">
      <alignment horizontal="center"/>
    </xf>
    <xf numFmtId="0" fontId="7" fillId="0" borderId="0" xfId="2" applyFill="1" applyAlignment="1">
      <alignment horizontal="center"/>
    </xf>
    <xf numFmtId="0" fontId="76" fillId="0" borderId="0" xfId="2" applyFont="1" applyFill="1"/>
    <xf numFmtId="38" fontId="0" fillId="0" borderId="0" xfId="0" applyNumberFormat="1" applyAlignment="1">
      <alignment horizontal="left" vertical="center"/>
    </xf>
    <xf numFmtId="0" fontId="0" fillId="0" borderId="21" xfId="0" applyBorder="1" applyAlignment="1">
      <alignment horizontal="center" vertical="center"/>
    </xf>
    <xf numFmtId="0" fontId="30" fillId="0" borderId="0" xfId="2" applyFont="1" applyFill="1"/>
    <xf numFmtId="0" fontId="71" fillId="0" borderId="0" xfId="2" applyFont="1" applyFill="1" applyAlignment="1">
      <alignment horizontal="right"/>
    </xf>
    <xf numFmtId="0" fontId="30" fillId="0" borderId="0" xfId="2" quotePrefix="1" applyFont="1" applyFill="1" applyBorder="1" applyAlignment="1" applyProtection="1">
      <alignment vertical="center"/>
    </xf>
    <xf numFmtId="0" fontId="30" fillId="0" borderId="0" xfId="2" applyFont="1" applyFill="1" applyBorder="1" applyAlignment="1" applyProtection="1">
      <alignment vertical="center"/>
    </xf>
    <xf numFmtId="0" fontId="83" fillId="0" borderId="0" xfId="2" applyFont="1" applyAlignment="1">
      <alignment vertical="center"/>
    </xf>
    <xf numFmtId="0" fontId="51" fillId="0" borderId="0" xfId="2" applyFont="1" applyAlignment="1">
      <alignment vertical="top" wrapText="1"/>
    </xf>
    <xf numFmtId="0" fontId="7" fillId="0" borderId="0" xfId="2" applyFill="1" applyBorder="1"/>
    <xf numFmtId="0" fontId="7" fillId="0" borderId="0" xfId="2" applyFill="1" applyBorder="1" applyAlignment="1"/>
    <xf numFmtId="0" fontId="64" fillId="0" borderId="0" xfId="0" applyFont="1" applyFill="1" applyAlignment="1">
      <alignment vertical="center"/>
    </xf>
    <xf numFmtId="0" fontId="7" fillId="0" borderId="0" xfId="2" quotePrefix="1" applyFill="1"/>
    <xf numFmtId="0" fontId="44" fillId="0" borderId="0" xfId="2" applyFont="1" applyFill="1" applyAlignment="1">
      <alignment horizontal="center"/>
    </xf>
    <xf numFmtId="0" fontId="44" fillId="0" borderId="0" xfId="2" applyFont="1" applyFill="1" applyAlignment="1"/>
    <xf numFmtId="0" fontId="38" fillId="0" borderId="0" xfId="2" applyFont="1" applyFill="1"/>
    <xf numFmtId="0" fontId="0" fillId="0" borderId="0" xfId="0" applyAlignment="1">
      <alignment horizontal="left" vertical="center"/>
    </xf>
    <xf numFmtId="0" fontId="0" fillId="0" borderId="0" xfId="0" applyBorder="1" applyAlignment="1" applyProtection="1">
      <alignment vertical="center"/>
    </xf>
    <xf numFmtId="0" fontId="2" fillId="0" borderId="0" xfId="0" applyFont="1" applyFill="1" applyBorder="1" applyAlignment="1" applyProtection="1">
      <alignment horizontal="left" vertical="top"/>
    </xf>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center"/>
    </xf>
    <xf numFmtId="8" fontId="0" fillId="0" borderId="1" xfId="0" applyNumberFormat="1" applyBorder="1" applyAlignment="1" applyProtection="1">
      <alignment vertical="center"/>
    </xf>
    <xf numFmtId="190" fontId="0" fillId="0" borderId="28" xfId="0" applyNumberFormat="1" applyBorder="1" applyAlignment="1" applyProtection="1">
      <alignment horizontal="right" vertical="center"/>
    </xf>
    <xf numFmtId="168" fontId="0" fillId="0" borderId="0" xfId="0" applyNumberFormat="1" applyFont="1" applyBorder="1" applyAlignment="1" applyProtection="1">
      <alignment horizontal="left" vertical="top"/>
    </xf>
    <xf numFmtId="0" fontId="0" fillId="0" borderId="0" xfId="0" applyBorder="1" applyAlignment="1" applyProtection="1">
      <alignment horizontal="left" vertical="top" wrapText="1"/>
    </xf>
    <xf numFmtId="8" fontId="0" fillId="0" borderId="28" xfId="0" applyNumberFormat="1" applyBorder="1" applyAlignment="1">
      <alignment horizontal="right" vertical="center"/>
    </xf>
    <xf numFmtId="0" fontId="0" fillId="0" borderId="1" xfId="0" applyBorder="1" applyAlignment="1" applyProtection="1">
      <alignment horizontal="right" vertical="center"/>
    </xf>
    <xf numFmtId="167" fontId="2" fillId="0" borderId="0" xfId="0" applyNumberFormat="1" applyFont="1" applyAlignment="1">
      <alignment horizontal="left" vertical="top"/>
    </xf>
    <xf numFmtId="168" fontId="2" fillId="0" borderId="0" xfId="0" applyNumberFormat="1" applyFont="1" applyAlignment="1">
      <alignment horizontal="left" vertical="top"/>
    </xf>
    <xf numFmtId="38" fontId="12" fillId="6" borderId="0" xfId="0" applyNumberFormat="1" applyFont="1" applyFill="1" applyBorder="1" applyAlignment="1" applyProtection="1">
      <alignment horizontal="center" vertical="center"/>
    </xf>
    <xf numFmtId="168" fontId="0" fillId="0" borderId="0" xfId="0" applyNumberFormat="1" applyFont="1" applyBorder="1" applyAlignment="1" applyProtection="1"/>
    <xf numFmtId="0" fontId="0" fillId="0" borderId="0" xfId="0" applyFont="1" applyFill="1" applyBorder="1" applyAlignment="1" applyProtection="1"/>
    <xf numFmtId="0" fontId="4" fillId="0" borderId="8" xfId="0" quotePrefix="1" applyFont="1" applyFill="1" applyBorder="1" applyAlignment="1" applyProtection="1">
      <alignment horizontal="right" vertical="center"/>
    </xf>
    <xf numFmtId="0" fontId="0" fillId="0" borderId="17" xfId="0" applyFill="1" applyBorder="1" applyAlignment="1">
      <alignment vertical="center"/>
    </xf>
    <xf numFmtId="9" fontId="12" fillId="6" borderId="17" xfId="4" applyFont="1" applyFill="1" applyBorder="1" applyAlignment="1">
      <alignment horizontal="center" vertical="center"/>
    </xf>
    <xf numFmtId="0" fontId="0" fillId="0" borderId="76" xfId="0" applyBorder="1"/>
    <xf numFmtId="0" fontId="114" fillId="0" borderId="0" xfId="0" applyFont="1"/>
    <xf numFmtId="0" fontId="7" fillId="0" borderId="24" xfId="2" applyBorder="1"/>
    <xf numFmtId="0" fontId="82" fillId="0" borderId="0" xfId="2" applyFont="1" applyAlignment="1">
      <alignment horizontal="center"/>
    </xf>
    <xf numFmtId="0" fontId="82" fillId="0" borderId="0" xfId="2" applyFont="1" applyBorder="1" applyAlignment="1">
      <alignment horizontal="center"/>
    </xf>
    <xf numFmtId="0" fontId="7" fillId="0" borderId="2" xfId="2" applyBorder="1"/>
    <xf numFmtId="0" fontId="0" fillId="0" borderId="0" xfId="0" applyBorder="1" applyAlignment="1" applyProtection="1">
      <alignment horizontal="left" vertical="top" wrapText="1"/>
    </xf>
    <xf numFmtId="0" fontId="0" fillId="0" borderId="0" xfId="0" applyFill="1" applyBorder="1"/>
    <xf numFmtId="9" fontId="12" fillId="6" borderId="18" xfId="4" applyFont="1" applyFill="1" applyBorder="1" applyAlignment="1">
      <alignment horizontal="center" vertical="center"/>
    </xf>
    <xf numFmtId="0" fontId="0" fillId="0" borderId="76" xfId="0" applyBorder="1" applyAlignment="1">
      <alignment vertical="center"/>
    </xf>
    <xf numFmtId="9" fontId="12" fillId="6" borderId="76" xfId="4" applyFont="1" applyFill="1" applyBorder="1" applyAlignment="1">
      <alignment horizontal="center" vertical="center"/>
    </xf>
    <xf numFmtId="9" fontId="0" fillId="0" borderId="17" xfId="4" applyFont="1" applyFill="1" applyBorder="1" applyAlignment="1">
      <alignment horizontal="center" vertical="center"/>
    </xf>
    <xf numFmtId="0" fontId="0" fillId="0" borderId="17" xfId="0" applyFill="1" applyBorder="1"/>
    <xf numFmtId="0" fontId="0" fillId="0" borderId="76" xfId="0" applyFill="1" applyBorder="1"/>
    <xf numFmtId="9" fontId="0" fillId="0" borderId="76" xfId="4" applyFont="1" applyFill="1" applyBorder="1" applyAlignment="1">
      <alignment horizontal="center" vertical="center"/>
    </xf>
    <xf numFmtId="0" fontId="0" fillId="0" borderId="94" xfId="0" applyFill="1" applyBorder="1"/>
    <xf numFmtId="9" fontId="12" fillId="6" borderId="94" xfId="4" applyFont="1" applyFill="1" applyBorder="1" applyAlignment="1">
      <alignment horizontal="center" vertical="center"/>
    </xf>
    <xf numFmtId="9" fontId="12" fillId="6" borderId="95" xfId="4" applyFont="1" applyFill="1" applyBorder="1" applyAlignment="1">
      <alignment horizontal="center" vertical="center"/>
    </xf>
    <xf numFmtId="38" fontId="12" fillId="6" borderId="96" xfId="0" applyNumberFormat="1" applyFont="1" applyFill="1" applyBorder="1" applyAlignment="1">
      <alignment horizontal="center" vertical="center"/>
    </xf>
    <xf numFmtId="0" fontId="0" fillId="7" borderId="17" xfId="0" applyFill="1" applyBorder="1"/>
    <xf numFmtId="0" fontId="0" fillId="7" borderId="76" xfId="0" applyFill="1" applyBorder="1"/>
    <xf numFmtId="0" fontId="0" fillId="7" borderId="96" xfId="0" applyFill="1" applyBorder="1"/>
    <xf numFmtId="0" fontId="0" fillId="7" borderId="18" xfId="0" applyFill="1" applyBorder="1"/>
    <xf numFmtId="8" fontId="0" fillId="8" borderId="28" xfId="0" applyNumberFormat="1" applyFill="1" applyBorder="1" applyAlignment="1" applyProtection="1">
      <alignment horizontal="right" vertical="center"/>
    </xf>
    <xf numFmtId="0" fontId="0" fillId="0" borderId="94" xfId="0" applyBorder="1"/>
    <xf numFmtId="0" fontId="36" fillId="0" borderId="0" xfId="2" applyFont="1" applyFill="1" applyAlignment="1">
      <alignment horizontal="right"/>
    </xf>
    <xf numFmtId="0" fontId="30" fillId="0" borderId="0" xfId="2" applyFont="1" applyFill="1" applyAlignment="1">
      <alignment horizontal="right"/>
    </xf>
    <xf numFmtId="0" fontId="35" fillId="0" borderId="0" xfId="2" applyFont="1" applyFill="1"/>
    <xf numFmtId="0" fontId="7" fillId="0" borderId="0" xfId="2" applyFill="1" applyAlignment="1">
      <alignment horizontal="right"/>
    </xf>
    <xf numFmtId="0" fontId="7" fillId="0" borderId="0" xfId="2" applyFont="1" applyFill="1" applyAlignment="1">
      <alignment horizontal="center" vertical="center"/>
    </xf>
    <xf numFmtId="172" fontId="7" fillId="0" borderId="28" xfId="2" applyNumberFormat="1" applyFont="1" applyFill="1" applyBorder="1" applyAlignment="1" applyProtection="1">
      <alignment horizontal="center" vertical="center"/>
    </xf>
    <xf numFmtId="172" fontId="7" fillId="0" borderId="0" xfId="2" applyNumberFormat="1" applyFont="1" applyFill="1" applyBorder="1" applyAlignment="1">
      <alignment horizontal="center" vertical="center"/>
    </xf>
    <xf numFmtId="191" fontId="0" fillId="0" borderId="17" xfId="4" applyNumberFormat="1" applyFont="1" applyBorder="1" applyAlignment="1">
      <alignment horizontal="center" vertical="center"/>
    </xf>
    <xf numFmtId="166" fontId="2" fillId="0" borderId="0" xfId="0" applyNumberFormat="1" applyFont="1" applyBorder="1" applyAlignment="1" applyProtection="1">
      <alignment horizontal="right" vertical="top" wrapText="1"/>
    </xf>
    <xf numFmtId="0" fontId="0" fillId="0" borderId="94" xfId="0" applyFill="1" applyBorder="1" applyAlignment="1">
      <alignment vertical="center"/>
    </xf>
    <xf numFmtId="0" fontId="0" fillId="0" borderId="76" xfId="0" applyFill="1" applyBorder="1" applyAlignment="1">
      <alignment vertical="center"/>
    </xf>
    <xf numFmtId="0" fontId="0" fillId="0" borderId="94" xfId="0" applyBorder="1" applyAlignment="1">
      <alignment vertical="center"/>
    </xf>
    <xf numFmtId="38" fontId="12" fillId="6" borderId="76" xfId="4" applyNumberFormat="1" applyFont="1" applyFill="1" applyBorder="1" applyAlignment="1">
      <alignment horizontal="center" vertical="center"/>
    </xf>
    <xf numFmtId="38" fontId="12" fillId="6" borderId="94" xfId="4" applyNumberFormat="1" applyFont="1" applyFill="1" applyBorder="1" applyAlignment="1">
      <alignment horizontal="center" vertical="center"/>
    </xf>
    <xf numFmtId="0" fontId="4" fillId="0" borderId="0" xfId="0" applyFont="1" applyFill="1" applyBorder="1" applyAlignment="1" applyProtection="1">
      <alignment vertical="top" wrapText="1"/>
    </xf>
    <xf numFmtId="0" fontId="10" fillId="0" borderId="0" xfId="0" applyFont="1" applyBorder="1" applyAlignment="1" applyProtection="1">
      <alignment vertical="top" wrapText="1"/>
    </xf>
    <xf numFmtId="9" fontId="4" fillId="0" borderId="76" xfId="4" applyFont="1" applyFill="1" applyBorder="1" applyAlignment="1">
      <alignment horizontal="center" vertical="center"/>
    </xf>
    <xf numFmtId="0" fontId="4" fillId="0" borderId="0" xfId="0" applyFont="1" applyAlignment="1" applyProtection="1">
      <alignment vertical="top"/>
    </xf>
    <xf numFmtId="0" fontId="0" fillId="0" borderId="0" xfId="0" applyFill="1" applyBorder="1" applyAlignment="1">
      <alignment vertical="center"/>
    </xf>
    <xf numFmtId="0" fontId="0" fillId="0" borderId="17" xfId="0" applyFill="1" applyBorder="1" applyAlignment="1">
      <alignment horizontal="center" vertical="center"/>
    </xf>
    <xf numFmtId="0" fontId="0" fillId="0" borderId="94" xfId="0" applyFill="1" applyBorder="1" applyAlignment="1">
      <alignment horizontal="center" vertical="center"/>
    </xf>
    <xf numFmtId="0" fontId="0" fillId="0" borderId="76" xfId="0" applyFill="1" applyBorder="1" applyAlignment="1">
      <alignment horizontal="center" vertical="center"/>
    </xf>
    <xf numFmtId="0" fontId="0" fillId="0" borderId="0" xfId="0" applyFill="1" applyBorder="1" applyAlignment="1">
      <alignment horizontal="center" vertical="center"/>
    </xf>
    <xf numFmtId="0" fontId="0" fillId="0" borderId="94" xfId="0" applyBorder="1" applyAlignment="1">
      <alignment horizontal="center" vertical="center"/>
    </xf>
    <xf numFmtId="0" fontId="0" fillId="0" borderId="76" xfId="0" applyBorder="1" applyAlignment="1">
      <alignment horizontal="center" vertical="center"/>
    </xf>
    <xf numFmtId="0" fontId="0" fillId="0" borderId="76" xfId="0" applyBorder="1" applyAlignment="1">
      <alignment horizontal="right" vertical="center"/>
    </xf>
    <xf numFmtId="0" fontId="0" fillId="0" borderId="0" xfId="0" quotePrefix="1" applyFont="1" applyAlignment="1"/>
    <xf numFmtId="0" fontId="0" fillId="16" borderId="0" xfId="0" applyFill="1" applyBorder="1" applyAlignment="1">
      <alignment horizontal="center" vertical="center"/>
    </xf>
    <xf numFmtId="40" fontId="12" fillId="18" borderId="54" xfId="0" applyNumberFormat="1" applyFont="1" applyFill="1" applyBorder="1" applyAlignment="1">
      <alignment horizontal="center" vertical="center"/>
    </xf>
    <xf numFmtId="40" fontId="12" fillId="18" borderId="28" xfId="0" applyNumberFormat="1" applyFont="1" applyFill="1" applyBorder="1" applyAlignment="1">
      <alignment horizontal="center" vertical="center"/>
    </xf>
    <xf numFmtId="0" fontId="2" fillId="0" borderId="0" xfId="0" applyFont="1" applyAlignment="1">
      <alignment horizontal="center"/>
    </xf>
    <xf numFmtId="0" fontId="2" fillId="17" borderId="0" xfId="0" applyFont="1" applyFill="1" applyAlignment="1">
      <alignment horizontal="center"/>
    </xf>
    <xf numFmtId="0" fontId="0" fillId="19" borderId="94" xfId="0" applyFill="1" applyBorder="1" applyAlignment="1">
      <alignment horizontal="center" vertical="center"/>
    </xf>
    <xf numFmtId="0" fontId="91" fillId="19" borderId="94" xfId="0" applyFont="1" applyFill="1" applyBorder="1" applyAlignment="1">
      <alignment horizontal="left" vertical="center"/>
    </xf>
    <xf numFmtId="0" fontId="4" fillId="0" borderId="0" xfId="0" applyFont="1" applyAlignment="1">
      <alignment horizontal="left" vertical="center"/>
    </xf>
    <xf numFmtId="0" fontId="0" fillId="0" borderId="17" xfId="0" applyBorder="1" applyAlignment="1">
      <alignment horizontal="left" vertical="center" wrapText="1"/>
    </xf>
    <xf numFmtId="9" fontId="12" fillId="6" borderId="17" xfId="4" applyFont="1" applyFill="1" applyBorder="1" applyAlignment="1">
      <alignment horizontal="center" vertical="center"/>
    </xf>
    <xf numFmtId="0" fontId="0" fillId="0" borderId="0" xfId="0" applyAlignment="1">
      <alignment horizontal="left" vertical="center"/>
    </xf>
    <xf numFmtId="0" fontId="0" fillId="0" borderId="0" xfId="0" applyBorder="1" applyAlignment="1" applyProtection="1">
      <alignment horizontal="left" vertical="top" wrapText="1"/>
    </xf>
    <xf numFmtId="0" fontId="0" fillId="0" borderId="0" xfId="0" applyBorder="1" applyAlignment="1" applyProtection="1">
      <alignment vertical="top"/>
    </xf>
    <xf numFmtId="38" fontId="4" fillId="0" borderId="0" xfId="0" applyNumberFormat="1" applyFont="1" applyBorder="1" applyAlignment="1" applyProtection="1">
      <alignment horizontal="center" vertical="center"/>
    </xf>
    <xf numFmtId="9" fontId="12" fillId="6" borderId="17" xfId="4" applyFont="1" applyFill="1" applyBorder="1" applyAlignment="1">
      <alignment horizontal="center" vertical="center"/>
    </xf>
    <xf numFmtId="0" fontId="0" fillId="0" borderId="0" xfId="0" applyBorder="1" applyAlignment="1" applyProtection="1">
      <alignment horizontal="left" vertical="center"/>
    </xf>
    <xf numFmtId="0" fontId="6" fillId="0" borderId="0" xfId="0" applyFont="1" applyFill="1"/>
    <xf numFmtId="0" fontId="117" fillId="0" borderId="0" xfId="2" applyFont="1"/>
    <xf numFmtId="0" fontId="0" fillId="7" borderId="76" xfId="0" applyFill="1" applyBorder="1" applyAlignment="1">
      <alignment vertical="center"/>
    </xf>
    <xf numFmtId="0" fontId="0" fillId="7" borderId="96" xfId="0" applyFill="1" applyBorder="1" applyAlignment="1">
      <alignment vertical="center"/>
    </xf>
    <xf numFmtId="0" fontId="0" fillId="7" borderId="54" xfId="0" applyFill="1" applyBorder="1" applyAlignment="1">
      <alignment vertical="center"/>
    </xf>
    <xf numFmtId="0" fontId="0" fillId="0" borderId="75"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95" xfId="0" applyBorder="1" applyAlignment="1">
      <alignment vertical="center"/>
    </xf>
    <xf numFmtId="0" fontId="0" fillId="0" borderId="18" xfId="0" applyBorder="1" applyAlignment="1">
      <alignment vertical="center"/>
    </xf>
    <xf numFmtId="0" fontId="5" fillId="0" borderId="96" xfId="0" applyFont="1" applyBorder="1" applyAlignment="1">
      <alignment vertical="center"/>
    </xf>
    <xf numFmtId="0" fontId="3" fillId="0" borderId="96" xfId="0" applyFont="1" applyBorder="1" applyAlignment="1">
      <alignment vertical="center"/>
    </xf>
    <xf numFmtId="0" fontId="0" fillId="0" borderId="96" xfId="0" applyBorder="1" applyAlignment="1">
      <alignment vertical="center"/>
    </xf>
    <xf numFmtId="0" fontId="0" fillId="0" borderId="96" xfId="0" applyFill="1" applyBorder="1" applyAlignment="1">
      <alignment horizontal="center" vertical="center"/>
    </xf>
    <xf numFmtId="0" fontId="0" fillId="0" borderId="54" xfId="0" applyFill="1" applyBorder="1" applyAlignment="1">
      <alignment horizontal="center" vertical="center"/>
    </xf>
    <xf numFmtId="0" fontId="0" fillId="0" borderId="18" xfId="0" applyFill="1" applyBorder="1" applyAlignment="1">
      <alignment horizontal="center" vertical="center"/>
    </xf>
    <xf numFmtId="0" fontId="0" fillId="20" borderId="0" xfId="0" applyFill="1" applyAlignment="1">
      <alignment vertical="center"/>
    </xf>
    <xf numFmtId="0" fontId="0" fillId="20" borderId="17" xfId="0" applyFill="1" applyBorder="1" applyAlignment="1">
      <alignment vertical="center"/>
    </xf>
    <xf numFmtId="0" fontId="0" fillId="20" borderId="94" xfId="0" applyFill="1" applyBorder="1" applyAlignment="1">
      <alignment vertical="center"/>
    </xf>
    <xf numFmtId="0" fontId="0" fillId="20" borderId="77" xfId="0" applyFill="1" applyBorder="1" applyAlignment="1">
      <alignment vertical="center"/>
    </xf>
    <xf numFmtId="0" fontId="0" fillId="20" borderId="97" xfId="0" applyFill="1" applyBorder="1" applyAlignment="1">
      <alignment vertical="center"/>
    </xf>
    <xf numFmtId="0" fontId="5" fillId="0" borderId="0" xfId="0" applyFont="1" applyBorder="1" applyAlignment="1">
      <alignment vertical="center"/>
    </xf>
    <xf numFmtId="38" fontId="12" fillId="6" borderId="0" xfId="0" applyNumberFormat="1" applyFont="1" applyFill="1" applyBorder="1" applyAlignment="1">
      <alignment horizontal="center" vertical="center"/>
    </xf>
    <xf numFmtId="0" fontId="3" fillId="0" borderId="0" xfId="0" applyFont="1" applyBorder="1" applyAlignment="1">
      <alignment vertical="center"/>
    </xf>
    <xf numFmtId="0" fontId="7" fillId="0" borderId="0" xfId="2" applyFont="1"/>
    <xf numFmtId="0" fontId="49" fillId="0" borderId="0" xfId="2" applyFont="1" applyAlignment="1">
      <alignment horizontal="right"/>
    </xf>
    <xf numFmtId="0" fontId="7" fillId="0" borderId="0" xfId="2" applyFont="1" applyBorder="1"/>
    <xf numFmtId="0" fontId="7" fillId="0" borderId="0" xfId="2" applyFont="1" applyBorder="1" applyAlignment="1">
      <alignment horizontal="center" wrapText="1"/>
    </xf>
    <xf numFmtId="0" fontId="7" fillId="0" borderId="0" xfId="2" applyFont="1" applyBorder="1" applyAlignment="1">
      <alignment horizontal="center" vertical="center"/>
    </xf>
    <xf numFmtId="0" fontId="7" fillId="0" borderId="0" xfId="2" applyFont="1" applyBorder="1" applyAlignment="1">
      <alignment horizontal="right" vertical="center"/>
    </xf>
    <xf numFmtId="0" fontId="7" fillId="0" borderId="0" xfId="2" applyFont="1" applyBorder="1" applyAlignment="1">
      <alignment horizontal="left" vertical="center"/>
    </xf>
    <xf numFmtId="9" fontId="7" fillId="0" borderId="0" xfId="2" applyNumberFormat="1" applyFont="1" applyBorder="1" applyAlignment="1">
      <alignment horizontal="center" vertical="center"/>
    </xf>
    <xf numFmtId="10" fontId="7" fillId="0" borderId="0" xfId="2" applyNumberFormat="1" applyFont="1" applyBorder="1" applyAlignment="1">
      <alignment horizontal="center" vertical="center"/>
    </xf>
    <xf numFmtId="0" fontId="7" fillId="0" borderId="0" xfId="2" applyFont="1" applyBorder="1" applyAlignment="1">
      <alignment horizontal="center" vertical="center" wrapText="1"/>
    </xf>
    <xf numFmtId="0" fontId="80" fillId="0" borderId="0" xfId="2" applyFont="1" applyBorder="1" applyAlignment="1">
      <alignment horizontal="right" vertical="center"/>
    </xf>
    <xf numFmtId="0" fontId="118" fillId="0" borderId="0" xfId="2" applyFont="1" applyBorder="1" applyAlignment="1">
      <alignment horizontal="left" vertical="center" wrapText="1"/>
    </xf>
    <xf numFmtId="0" fontId="80" fillId="0" borderId="0" xfId="2" applyFont="1" applyBorder="1" applyAlignment="1">
      <alignment horizontal="right" wrapText="1"/>
    </xf>
    <xf numFmtId="0" fontId="80" fillId="0" borderId="0" xfId="2" applyFont="1" applyBorder="1" applyAlignment="1">
      <alignment horizontal="left" vertical="center" wrapText="1"/>
    </xf>
    <xf numFmtId="0" fontId="80" fillId="0" borderId="0" xfId="2" quotePrefix="1" applyFont="1" applyBorder="1" applyAlignment="1">
      <alignment horizontal="left" vertical="center" wrapText="1"/>
    </xf>
    <xf numFmtId="0" fontId="7" fillId="0" borderId="0" xfId="2" applyFont="1" applyBorder="1" applyAlignment="1">
      <alignment horizontal="left" vertical="center" wrapText="1"/>
    </xf>
    <xf numFmtId="0" fontId="82" fillId="0" borderId="0" xfId="2" applyFont="1" applyBorder="1" applyAlignment="1">
      <alignment horizontal="center" wrapText="1"/>
    </xf>
    <xf numFmtId="0" fontId="82" fillId="0" borderId="0" xfId="2" applyFont="1" applyAlignment="1">
      <alignment horizontal="left"/>
    </xf>
    <xf numFmtId="0" fontId="112" fillId="0" borderId="0" xfId="2" applyFont="1" applyBorder="1"/>
    <xf numFmtId="175" fontId="7" fillId="0" borderId="0" xfId="2" applyNumberFormat="1"/>
    <xf numFmtId="0" fontId="5" fillId="0" borderId="0" xfId="0" applyFont="1"/>
    <xf numFmtId="0" fontId="62" fillId="0" borderId="0" xfId="2" applyFont="1" applyFill="1" applyAlignment="1">
      <alignment horizontal="center" vertical="center"/>
    </xf>
    <xf numFmtId="38" fontId="2" fillId="0" borderId="66" xfId="0" applyNumberFormat="1" applyFont="1" applyBorder="1" applyAlignment="1" applyProtection="1">
      <alignment horizontal="center" vertical="center"/>
    </xf>
    <xf numFmtId="38" fontId="0" fillId="0" borderId="17" xfId="0" applyNumberFormat="1" applyBorder="1" applyAlignment="1" applyProtection="1">
      <alignment horizontal="center" vertical="center"/>
    </xf>
    <xf numFmtId="38" fontId="0" fillId="0" borderId="18" xfId="0" applyNumberFormat="1" applyBorder="1" applyAlignment="1" applyProtection="1">
      <alignment horizontal="center" vertical="center"/>
    </xf>
    <xf numFmtId="0" fontId="42" fillId="0" borderId="0" xfId="2" applyFont="1" applyFill="1" applyAlignment="1">
      <alignment horizontal="right" indent="1"/>
    </xf>
    <xf numFmtId="0" fontId="42" fillId="0" borderId="0" xfId="2" applyFont="1" applyFill="1" applyAlignment="1">
      <alignment horizontal="left" indent="1"/>
    </xf>
    <xf numFmtId="0" fontId="37" fillId="0" borderId="0" xfId="2" applyFont="1" applyFill="1"/>
    <xf numFmtId="0" fontId="0" fillId="0" borderId="18" xfId="0" applyBorder="1" applyAlignment="1">
      <alignment horizontal="left" vertical="center" wrapText="1"/>
    </xf>
    <xf numFmtId="0" fontId="26" fillId="0" borderId="18" xfId="0" applyFont="1" applyBorder="1" applyAlignment="1">
      <alignment horizontal="left" vertical="center" wrapText="1"/>
    </xf>
    <xf numFmtId="0" fontId="4" fillId="0" borderId="18" xfId="0" applyFont="1" applyBorder="1" applyAlignment="1">
      <alignment horizontal="left" vertical="center" wrapText="1"/>
    </xf>
    <xf numFmtId="0" fontId="0" fillId="0" borderId="52" xfId="0" applyBorder="1" applyAlignment="1">
      <alignment horizontal="left" vertical="center" wrapText="1"/>
    </xf>
    <xf numFmtId="0" fontId="7" fillId="0" borderId="0" xfId="2" quotePrefix="1" applyFont="1"/>
    <xf numFmtId="44" fontId="7" fillId="0" borderId="0" xfId="1" applyFont="1"/>
    <xf numFmtId="0" fontId="119" fillId="0" borderId="0" xfId="2" applyFont="1"/>
    <xf numFmtId="0" fontId="86" fillId="0" borderId="0" xfId="2" quotePrefix="1" applyFont="1" applyAlignment="1"/>
    <xf numFmtId="174" fontId="79" fillId="0" borderId="0" xfId="2" applyNumberFormat="1" applyFont="1" applyAlignment="1"/>
    <xf numFmtId="40" fontId="41" fillId="0" borderId="26" xfId="2" applyNumberFormat="1" applyFont="1" applyFill="1" applyBorder="1" applyProtection="1">
      <protection locked="0"/>
    </xf>
    <xf numFmtId="0" fontId="53" fillId="0" borderId="0" xfId="2" applyFont="1" applyBorder="1"/>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top" wrapText="1"/>
    </xf>
    <xf numFmtId="0" fontId="0" fillId="0" borderId="0" xfId="0" applyBorder="1" applyAlignment="1" applyProtection="1">
      <alignment horizontal="left" vertical="top"/>
    </xf>
    <xf numFmtId="9" fontId="12" fillId="6" borderId="17" xfId="4" applyFont="1" applyFill="1" applyBorder="1" applyAlignment="1">
      <alignment horizontal="center" vertical="center"/>
    </xf>
    <xf numFmtId="0" fontId="0" fillId="0" borderId="0" xfId="0" applyBorder="1" applyAlignment="1" applyProtection="1">
      <alignment horizontal="left" vertical="center"/>
    </xf>
    <xf numFmtId="0" fontId="0" fillId="3" borderId="15" xfId="0" applyFill="1" applyBorder="1" applyAlignment="1">
      <alignment horizontal="left" vertical="center"/>
    </xf>
    <xf numFmtId="0" fontId="0" fillId="3" borderId="15" xfId="0" applyFill="1" applyBorder="1" applyAlignment="1" applyProtection="1">
      <alignment horizontal="left" vertical="center"/>
    </xf>
    <xf numFmtId="0" fontId="0" fillId="3" borderId="12" xfId="0" applyFill="1" applyBorder="1" applyAlignment="1" applyProtection="1">
      <alignment vertical="center"/>
    </xf>
    <xf numFmtId="0" fontId="0" fillId="3" borderId="44" xfId="0" applyFill="1" applyBorder="1" applyAlignment="1" applyProtection="1">
      <alignment horizontal="left" vertical="center"/>
    </xf>
    <xf numFmtId="0" fontId="0" fillId="3" borderId="28" xfId="0" applyFill="1" applyBorder="1" applyAlignment="1" applyProtection="1">
      <alignment horizontal="left" vertical="center"/>
    </xf>
    <xf numFmtId="164" fontId="0" fillId="0" borderId="44" xfId="4" applyNumberFormat="1" applyFont="1" applyFill="1" applyBorder="1" applyAlignment="1" applyProtection="1">
      <alignment horizontal="center" vertical="center"/>
    </xf>
    <xf numFmtId="0" fontId="0" fillId="0" borderId="12" xfId="0" applyBorder="1" applyAlignment="1" applyProtection="1">
      <alignment horizontal="center" vertical="center" wrapText="1"/>
    </xf>
    <xf numFmtId="9" fontId="0" fillId="0" borderId="102" xfId="4" applyFont="1" applyBorder="1" applyAlignment="1" applyProtection="1">
      <alignment horizontal="center" vertical="center" wrapText="1"/>
    </xf>
    <xf numFmtId="1" fontId="0" fillId="0" borderId="23" xfId="0" applyNumberFormat="1" applyFill="1" applyBorder="1" applyAlignment="1" applyProtection="1">
      <alignment horizontal="center" vertical="center"/>
    </xf>
    <xf numFmtId="0" fontId="0" fillId="0" borderId="40" xfId="0" applyBorder="1" applyAlignment="1" applyProtection="1">
      <alignment horizontal="center" vertical="center" wrapText="1"/>
    </xf>
    <xf numFmtId="1" fontId="0" fillId="0" borderId="103" xfId="0" applyNumberFormat="1" applyFill="1" applyBorder="1" applyAlignment="1" applyProtection="1">
      <alignment horizontal="center" vertical="center"/>
    </xf>
    <xf numFmtId="0" fontId="0" fillId="0" borderId="104" xfId="0" applyBorder="1" applyAlignment="1" applyProtection="1">
      <alignment horizontal="center" vertical="center" wrapText="1"/>
    </xf>
    <xf numFmtId="0" fontId="0" fillId="0" borderId="107" xfId="0" applyBorder="1" applyAlignment="1" applyProtection="1">
      <alignment horizontal="center" wrapText="1"/>
    </xf>
    <xf numFmtId="9" fontId="0" fillId="0" borderId="20" xfId="4" applyFont="1" applyBorder="1" applyAlignment="1" applyProtection="1">
      <alignment horizontal="center" vertical="center"/>
    </xf>
    <xf numFmtId="9" fontId="0" fillId="0" borderId="21" xfId="4" applyFont="1" applyBorder="1" applyAlignment="1" applyProtection="1">
      <alignment horizontal="center" vertical="center"/>
    </xf>
    <xf numFmtId="9" fontId="0" fillId="0" borderId="112" xfId="4" applyFont="1" applyBorder="1" applyAlignment="1" applyProtection="1">
      <alignment horizontal="center" vertical="center"/>
    </xf>
    <xf numFmtId="9" fontId="0" fillId="0" borderId="38" xfId="4" applyFont="1" applyBorder="1" applyAlignment="1" applyProtection="1">
      <alignment horizontal="center" vertical="center" wrapText="1"/>
    </xf>
    <xf numFmtId="9" fontId="0" fillId="0" borderId="116" xfId="4" applyFont="1" applyBorder="1" applyAlignment="1" applyProtection="1">
      <alignment horizontal="center" vertical="center"/>
    </xf>
    <xf numFmtId="1" fontId="0" fillId="0" borderId="117" xfId="0" applyNumberFormat="1" applyFill="1" applyBorder="1" applyAlignment="1" applyProtection="1">
      <alignment horizontal="center" vertical="center"/>
    </xf>
    <xf numFmtId="0" fontId="0" fillId="3" borderId="100" xfId="0" applyFill="1" applyBorder="1" applyAlignment="1" applyProtection="1">
      <alignment horizontal="left" vertical="center"/>
    </xf>
    <xf numFmtId="9" fontId="0" fillId="0" borderId="104" xfId="4" applyFont="1" applyBorder="1" applyAlignment="1" applyProtection="1">
      <alignment horizontal="center" vertical="center"/>
    </xf>
    <xf numFmtId="1" fontId="0" fillId="0" borderId="118" xfId="0" applyNumberFormat="1" applyFont="1" applyFill="1" applyBorder="1" applyAlignment="1" applyProtection="1">
      <alignment horizontal="center" vertical="center"/>
    </xf>
    <xf numFmtId="0" fontId="0" fillId="3" borderId="121" xfId="0" applyFill="1" applyBorder="1" applyAlignment="1" applyProtection="1">
      <alignment horizontal="left" vertical="center"/>
    </xf>
    <xf numFmtId="9" fontId="0" fillId="0" borderId="122" xfId="4" applyFont="1" applyBorder="1" applyAlignment="1" applyProtection="1">
      <alignment horizontal="center" vertical="center" wrapText="1"/>
    </xf>
    <xf numFmtId="0" fontId="0" fillId="0" borderId="123" xfId="0" applyBorder="1" applyAlignment="1" applyProtection="1">
      <alignment horizontal="center" wrapText="1"/>
    </xf>
    <xf numFmtId="1" fontId="0" fillId="0" borderId="109" xfId="0" applyNumberFormat="1" applyFont="1" applyFill="1" applyBorder="1" applyAlignment="1" applyProtection="1">
      <alignment horizontal="center" vertical="center"/>
    </xf>
    <xf numFmtId="1" fontId="0" fillId="0" borderId="110" xfId="0" applyNumberFormat="1" applyFont="1" applyFill="1" applyBorder="1" applyAlignment="1" applyProtection="1">
      <alignment horizontal="center" vertical="center"/>
    </xf>
    <xf numFmtId="1" fontId="0" fillId="16" borderId="109" xfId="0" applyNumberFormat="1" applyFont="1" applyFill="1" applyBorder="1" applyAlignment="1" applyProtection="1">
      <alignment horizontal="center" vertical="center"/>
    </xf>
    <xf numFmtId="9" fontId="116" fillId="0" borderId="20" xfId="4" applyFont="1" applyBorder="1" applyAlignment="1" applyProtection="1">
      <alignment horizontal="center" vertical="center"/>
    </xf>
    <xf numFmtId="1" fontId="0" fillId="16" borderId="110" xfId="0" applyNumberFormat="1" applyFont="1" applyFill="1" applyBorder="1" applyAlignment="1" applyProtection="1">
      <alignment horizontal="center" vertical="center"/>
    </xf>
    <xf numFmtId="9" fontId="116" fillId="0" borderId="21" xfId="4" applyFont="1" applyBorder="1" applyAlignment="1" applyProtection="1">
      <alignment horizontal="center" vertical="center"/>
    </xf>
    <xf numFmtId="38" fontId="0" fillId="0" borderId="10" xfId="4" applyNumberFormat="1" applyFont="1" applyBorder="1" applyAlignment="1">
      <alignment horizontal="center" vertical="center" wrapText="1"/>
    </xf>
    <xf numFmtId="1" fontId="0" fillId="0" borderId="125" xfId="0" applyNumberFormat="1" applyFont="1" applyFill="1" applyBorder="1" applyAlignment="1" applyProtection="1">
      <alignment horizontal="center" vertical="center"/>
    </xf>
    <xf numFmtId="38" fontId="0" fillId="0" borderId="40" xfId="4" applyNumberFormat="1" applyFont="1" applyBorder="1" applyAlignment="1" applyProtection="1">
      <alignment horizontal="center" vertical="center" wrapText="1"/>
    </xf>
    <xf numFmtId="0" fontId="0" fillId="3" borderId="124" xfId="0" applyFill="1" applyBorder="1" applyAlignment="1">
      <alignment horizontal="left" vertical="center"/>
    </xf>
    <xf numFmtId="9" fontId="0" fillId="0" borderId="21" xfId="4" applyFont="1" applyBorder="1" applyAlignment="1">
      <alignment horizontal="center" vertical="center"/>
    </xf>
    <xf numFmtId="9" fontId="0" fillId="7" borderId="0" xfId="4" applyFont="1" applyFill="1" applyAlignment="1">
      <alignment horizontal="center" vertical="center"/>
    </xf>
    <xf numFmtId="0" fontId="4" fillId="7" borderId="0" xfId="0" applyFont="1" applyFill="1" applyAlignment="1">
      <alignment horizontal="center" vertical="center"/>
    </xf>
    <xf numFmtId="0" fontId="0" fillId="0" borderId="51" xfId="0" applyBorder="1"/>
    <xf numFmtId="0" fontId="31" fillId="0" borderId="0" xfId="2" applyFont="1" applyFill="1" applyAlignment="1">
      <alignment horizontal="left" vertical="center" wrapText="1"/>
    </xf>
    <xf numFmtId="0" fontId="0" fillId="0" borderId="0" xfId="4" applyNumberFormat="1" applyFont="1" applyAlignment="1">
      <alignment vertical="top" wrapText="1"/>
    </xf>
    <xf numFmtId="9" fontId="12" fillId="21" borderId="18" xfId="4" applyFont="1" applyFill="1" applyBorder="1" applyAlignment="1">
      <alignment horizontal="center" vertical="center"/>
    </xf>
    <xf numFmtId="0" fontId="4" fillId="0" borderId="17" xfId="0" applyFont="1" applyBorder="1"/>
    <xf numFmtId="0" fontId="4" fillId="0" borderId="18" xfId="0" applyFont="1" applyBorder="1"/>
    <xf numFmtId="0" fontId="0" fillId="0" borderId="18" xfId="0" applyFill="1" applyBorder="1" applyAlignment="1">
      <alignment vertical="center"/>
    </xf>
    <xf numFmtId="0" fontId="0" fillId="0" borderId="18" xfId="0" applyFill="1" applyBorder="1"/>
    <xf numFmtId="0" fontId="0" fillId="0" borderId="18" xfId="0" applyBorder="1"/>
    <xf numFmtId="0" fontId="0" fillId="10" borderId="0" xfId="0" applyFill="1" applyAlignment="1">
      <alignment vertical="center"/>
    </xf>
    <xf numFmtId="9" fontId="12" fillId="6" borderId="0" xfId="4" applyFont="1" applyFill="1" applyBorder="1" applyAlignment="1">
      <alignment horizontal="center" vertical="center"/>
    </xf>
    <xf numFmtId="0" fontId="59" fillId="0" borderId="17" xfId="0" applyFont="1" applyBorder="1" applyAlignment="1">
      <alignment vertical="center"/>
    </xf>
    <xf numFmtId="0" fontId="59" fillId="0" borderId="96" xfId="0" applyFont="1" applyBorder="1" applyAlignment="1">
      <alignment vertical="center"/>
    </xf>
    <xf numFmtId="9" fontId="12" fillId="6" borderId="96" xfId="4" applyFont="1" applyFill="1" applyBorder="1" applyAlignment="1">
      <alignment horizontal="center" vertical="center"/>
    </xf>
    <xf numFmtId="0" fontId="59" fillId="0" borderId="94" xfId="0" applyFont="1" applyFill="1" applyBorder="1"/>
    <xf numFmtId="0" fontId="59" fillId="0" borderId="18" xfId="0" applyFont="1" applyBorder="1" applyAlignment="1">
      <alignment vertical="center"/>
    </xf>
    <xf numFmtId="0" fontId="59" fillId="0" borderId="18" xfId="0" applyFont="1" applyFill="1" applyBorder="1"/>
    <xf numFmtId="9" fontId="12" fillId="6" borderId="51" xfId="4" applyFont="1" applyFill="1" applyBorder="1" applyAlignment="1">
      <alignment horizontal="center" vertical="center"/>
    </xf>
    <xf numFmtId="0" fontId="0" fillId="0" borderId="95" xfId="0" applyFill="1" applyBorder="1"/>
    <xf numFmtId="0" fontId="0" fillId="0" borderId="95" xfId="0" applyBorder="1"/>
    <xf numFmtId="0" fontId="59" fillId="0" borderId="17" xfId="0" applyFont="1" applyFill="1" applyBorder="1"/>
    <xf numFmtId="0" fontId="0" fillId="0" borderId="96" xfId="0" applyBorder="1"/>
    <xf numFmtId="0" fontId="4" fillId="0" borderId="0" xfId="0" applyFont="1" applyBorder="1" applyAlignment="1" applyProtection="1">
      <alignment vertical="top"/>
    </xf>
    <xf numFmtId="0" fontId="0" fillId="0" borderId="0" xfId="0" applyFill="1" applyAlignment="1">
      <alignment vertical="top" wrapText="1"/>
    </xf>
    <xf numFmtId="0" fontId="0" fillId="0" borderId="106" xfId="0" applyBorder="1" applyAlignment="1" applyProtection="1">
      <alignment horizontal="center" wrapText="1"/>
    </xf>
    <xf numFmtId="0" fontId="0" fillId="0" borderId="101" xfId="0" applyBorder="1" applyAlignment="1" applyProtection="1">
      <alignment horizontal="center" wrapText="1"/>
    </xf>
    <xf numFmtId="0" fontId="0" fillId="0" borderId="101" xfId="0" applyBorder="1" applyAlignment="1" applyProtection="1">
      <alignment horizontal="center"/>
    </xf>
    <xf numFmtId="0" fontId="121" fillId="0" borderId="0" xfId="0" applyFont="1"/>
    <xf numFmtId="0" fontId="44" fillId="0" borderId="0" xfId="2" applyFont="1" applyFill="1" applyAlignment="1">
      <alignment horizontal="right"/>
    </xf>
    <xf numFmtId="0" fontId="44" fillId="0" borderId="0" xfId="2" applyFont="1" applyFill="1"/>
    <xf numFmtId="0" fontId="0" fillId="8" borderId="0" xfId="0" applyFill="1" applyBorder="1" applyProtection="1"/>
    <xf numFmtId="0" fontId="0" fillId="0" borderId="0" xfId="0" applyAlignment="1">
      <alignment horizontal="left" vertical="center" wrapText="1"/>
    </xf>
    <xf numFmtId="9" fontId="0" fillId="0" borderId="40" xfId="4" applyFont="1" applyBorder="1" applyAlignment="1" applyProtection="1">
      <alignment horizontal="center" vertical="center" wrapText="1"/>
    </xf>
    <xf numFmtId="0" fontId="12" fillId="0" borderId="0" xfId="0" applyFont="1" applyFill="1" applyBorder="1" applyAlignment="1">
      <alignment horizontal="center" vertical="center"/>
    </xf>
    <xf numFmtId="0" fontId="4" fillId="0" borderId="0" xfId="0" applyFont="1" applyFill="1" applyBorder="1" applyAlignment="1">
      <alignment horizontal="center" vertical="center"/>
    </xf>
    <xf numFmtId="185" fontId="4" fillId="0" borderId="0" xfId="4" applyNumberFormat="1" applyFont="1" applyFill="1" applyBorder="1" applyAlignment="1">
      <alignment horizontal="center" vertical="center"/>
    </xf>
    <xf numFmtId="38" fontId="4" fillId="0" borderId="0" xfId="0" applyNumberFormat="1" applyFont="1" applyFill="1" applyAlignment="1">
      <alignment horizontal="left" vertical="center"/>
    </xf>
    <xf numFmtId="0" fontId="0" fillId="0" borderId="0" xfId="0" applyFill="1" applyAlignment="1">
      <alignment horizontal="right" vertical="center"/>
    </xf>
    <xf numFmtId="0" fontId="0" fillId="0" borderId="0" xfId="0" applyFont="1" applyFill="1" applyAlignment="1">
      <alignment horizontal="right" vertical="center"/>
    </xf>
    <xf numFmtId="0" fontId="7" fillId="0" borderId="0" xfId="2" applyFont="1" applyFill="1" applyBorder="1"/>
    <xf numFmtId="0" fontId="7" fillId="0" borderId="0" xfId="2" applyFont="1" applyFill="1" applyBorder="1" applyAlignment="1">
      <alignment horizontal="center" vertical="center" wrapText="1"/>
    </xf>
    <xf numFmtId="0" fontId="7" fillId="0" borderId="0" xfId="2" applyFont="1" applyFill="1"/>
    <xf numFmtId="0" fontId="36" fillId="0" borderId="0" xfId="2" applyFont="1" applyFill="1"/>
    <xf numFmtId="40" fontId="42" fillId="0" borderId="28" xfId="2" applyNumberFormat="1" applyFont="1" applyFill="1" applyBorder="1"/>
    <xf numFmtId="40" fontId="30" fillId="0" borderId="0" xfId="2" applyNumberFormat="1" applyFont="1" applyFill="1"/>
    <xf numFmtId="40" fontId="42" fillId="0" borderId="25" xfId="2" applyNumberFormat="1" applyFont="1" applyFill="1" applyBorder="1"/>
    <xf numFmtId="40" fontId="40" fillId="0" borderId="0" xfId="2" applyNumberFormat="1" applyFont="1" applyFill="1"/>
    <xf numFmtId="40" fontId="7" fillId="0" borderId="0" xfId="2" applyNumberFormat="1" applyFill="1"/>
    <xf numFmtId="40" fontId="7" fillId="0" borderId="24" xfId="2" applyNumberFormat="1" applyFill="1" applyBorder="1"/>
    <xf numFmtId="40" fontId="47" fillId="0" borderId="0" xfId="2" applyNumberFormat="1" applyFont="1" applyFill="1"/>
    <xf numFmtId="40" fontId="45" fillId="0" borderId="0" xfId="2" applyNumberFormat="1" applyFont="1" applyFill="1"/>
    <xf numFmtId="40" fontId="41" fillId="0" borderId="0" xfId="2" applyNumberFormat="1" applyFont="1" applyFill="1"/>
    <xf numFmtId="40" fontId="36" fillId="0" borderId="0" xfId="2" applyNumberFormat="1" applyFont="1" applyFill="1"/>
    <xf numFmtId="0" fontId="2" fillId="8" borderId="0" xfId="0" applyFont="1" applyFill="1" applyBorder="1" applyAlignment="1" applyProtection="1">
      <alignment vertical="top"/>
    </xf>
    <xf numFmtId="0" fontId="2" fillId="8" borderId="0" xfId="0" applyFont="1" applyFill="1" applyBorder="1" applyAlignment="1" applyProtection="1">
      <alignment horizontal="right" vertical="center"/>
    </xf>
    <xf numFmtId="0" fontId="122" fillId="0" borderId="0" xfId="0" applyFont="1"/>
    <xf numFmtId="0" fontId="0" fillId="0" borderId="17" xfId="0" applyBorder="1" applyAlignment="1">
      <alignment horizontal="right" vertical="center"/>
    </xf>
    <xf numFmtId="0" fontId="0" fillId="0" borderId="17" xfId="0" applyNumberFormat="1" applyFill="1" applyBorder="1" applyAlignment="1">
      <alignment horizontal="right" vertical="center"/>
    </xf>
    <xf numFmtId="0" fontId="0" fillId="0" borderId="17" xfId="0" quotePrefix="1" applyFill="1" applyBorder="1" applyAlignment="1">
      <alignment horizontal="center" vertical="center"/>
    </xf>
    <xf numFmtId="191" fontId="0" fillId="0" borderId="18" xfId="4" applyNumberFormat="1" applyFont="1" applyBorder="1" applyAlignment="1">
      <alignment horizontal="center" vertical="center"/>
    </xf>
    <xf numFmtId="1" fontId="0" fillId="0" borderId="18" xfId="0" applyNumberFormat="1" applyFill="1" applyBorder="1" applyAlignment="1">
      <alignment horizontal="center" vertical="center"/>
    </xf>
    <xf numFmtId="1" fontId="0" fillId="0" borderId="76" xfId="0" applyNumberFormat="1" applyFill="1" applyBorder="1" applyAlignment="1">
      <alignment horizontal="center" vertical="center"/>
    </xf>
    <xf numFmtId="1" fontId="0" fillId="0" borderId="17" xfId="0" applyNumberFormat="1" applyFill="1" applyBorder="1" applyAlignment="1">
      <alignment horizontal="center" vertical="center"/>
    </xf>
    <xf numFmtId="0" fontId="0" fillId="0" borderId="0" xfId="0" applyFill="1" applyAlignment="1">
      <alignment wrapText="1"/>
    </xf>
    <xf numFmtId="0" fontId="7" fillId="0" borderId="24" xfId="2" applyFill="1" applyBorder="1" applyAlignment="1"/>
    <xf numFmtId="0" fontId="7" fillId="0" borderId="0" xfId="2" applyFill="1" applyAlignment="1"/>
    <xf numFmtId="0" fontId="0" fillId="10" borderId="0" xfId="0" applyFill="1"/>
    <xf numFmtId="175" fontId="88" fillId="0" borderId="0" xfId="1" applyNumberFormat="1" applyFont="1"/>
    <xf numFmtId="0" fontId="74" fillId="0" borderId="0" xfId="2" applyFont="1" applyFill="1"/>
    <xf numFmtId="0" fontId="7" fillId="0" borderId="0" xfId="2" applyFill="1" applyAlignment="1">
      <alignment horizontal="right" indent="1"/>
    </xf>
    <xf numFmtId="0" fontId="0" fillId="0" borderId="0" xfId="0" applyAlignment="1">
      <alignment vertical="top" wrapText="1"/>
    </xf>
    <xf numFmtId="0" fontId="0" fillId="0" borderId="0" xfId="0" applyFill="1" applyAlignment="1">
      <alignment horizontal="left" vertical="center"/>
    </xf>
    <xf numFmtId="1" fontId="0" fillId="0" borderId="111" xfId="0" applyNumberFormat="1" applyBorder="1" applyAlignment="1">
      <alignment horizontal="center" vertical="center"/>
    </xf>
    <xf numFmtId="1" fontId="0" fillId="0" borderId="127" xfId="0" applyNumberFormat="1" applyFont="1" applyFill="1" applyBorder="1" applyAlignment="1" applyProtection="1">
      <alignment horizontal="center" vertical="center"/>
    </xf>
    <xf numFmtId="1" fontId="0" fillId="0" borderId="111" xfId="0" applyNumberFormat="1" applyFont="1" applyFill="1" applyBorder="1" applyAlignment="1" applyProtection="1">
      <alignment horizontal="center" vertical="center"/>
    </xf>
    <xf numFmtId="1" fontId="0" fillId="0" borderId="127" xfId="0" applyNumberFormat="1" applyFill="1" applyBorder="1" applyAlignment="1" applyProtection="1">
      <alignment horizontal="center" vertical="center"/>
    </xf>
    <xf numFmtId="9" fontId="0" fillId="0" borderId="10" xfId="4" applyFont="1" applyBorder="1" applyAlignment="1" applyProtection="1">
      <alignment horizontal="center" vertical="center"/>
    </xf>
    <xf numFmtId="9" fontId="0" fillId="0" borderId="40" xfId="4" applyFont="1" applyBorder="1" applyAlignment="1" applyProtection="1">
      <alignment horizontal="center" vertical="center"/>
    </xf>
    <xf numFmtId="9" fontId="0" fillId="0" borderId="67" xfId="4" applyFont="1" applyBorder="1" applyAlignment="1" applyProtection="1">
      <alignment horizontal="center" vertical="center"/>
    </xf>
    <xf numFmtId="1" fontId="0" fillId="0" borderId="65" xfId="0" applyNumberFormat="1" applyFill="1" applyBorder="1" applyAlignment="1" applyProtection="1">
      <alignment horizontal="center" vertical="center"/>
    </xf>
    <xf numFmtId="0" fontId="0" fillId="3" borderId="123" xfId="0" applyFill="1" applyBorder="1" applyAlignment="1" applyProtection="1">
      <alignment horizontal="left" vertical="center"/>
    </xf>
    <xf numFmtId="0" fontId="0" fillId="3" borderId="53" xfId="0" applyFill="1" applyBorder="1" applyAlignment="1" applyProtection="1">
      <alignment horizontal="left" vertical="center"/>
    </xf>
    <xf numFmtId="0" fontId="0" fillId="3" borderId="120" xfId="0" applyFill="1" applyBorder="1" applyAlignment="1" applyProtection="1">
      <alignment horizontal="left" vertical="center"/>
    </xf>
    <xf numFmtId="1" fontId="4" fillId="0" borderId="113" xfId="0" applyNumberFormat="1" applyFont="1" applyFill="1" applyBorder="1" applyAlignment="1" applyProtection="1">
      <alignment horizontal="center" vertical="center"/>
    </xf>
    <xf numFmtId="0" fontId="40" fillId="0" borderId="0" xfId="2" applyFont="1" applyFill="1" applyBorder="1" applyAlignment="1">
      <alignment horizontal="center"/>
    </xf>
    <xf numFmtId="40" fontId="44" fillId="0" borderId="28" xfId="2" applyNumberFormat="1" applyFont="1" applyFill="1" applyBorder="1"/>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top"/>
    </xf>
    <xf numFmtId="0" fontId="0" fillId="0" borderId="0" xfId="0" applyBorder="1" applyAlignment="1" applyProtection="1">
      <alignment horizontal="left" vertical="center"/>
    </xf>
    <xf numFmtId="1" fontId="0" fillId="0" borderId="110" xfId="0" applyNumberFormat="1" applyBorder="1" applyAlignment="1">
      <alignment horizontal="center" vertical="center"/>
    </xf>
    <xf numFmtId="9" fontId="0" fillId="0" borderId="129" xfId="4" applyFont="1" applyBorder="1" applyAlignment="1" applyProtection="1">
      <alignment horizontal="center" vertical="center" wrapText="1"/>
    </xf>
    <xf numFmtId="3" fontId="12" fillId="6" borderId="130" xfId="0" applyNumberFormat="1" applyFont="1" applyFill="1" applyBorder="1" applyAlignment="1" applyProtection="1">
      <alignment horizontal="center" vertical="center" wrapText="1"/>
    </xf>
    <xf numFmtId="38" fontId="4" fillId="0" borderId="0" xfId="0" applyNumberFormat="1" applyFont="1" applyBorder="1" applyAlignment="1" applyProtection="1">
      <alignment horizontal="center" vertical="center"/>
    </xf>
    <xf numFmtId="38" fontId="4" fillId="0" borderId="0" xfId="0" applyNumberFormat="1" applyFont="1" applyFill="1" applyBorder="1" applyAlignment="1" applyProtection="1">
      <alignment horizontal="center" vertical="center"/>
    </xf>
    <xf numFmtId="0" fontId="0" fillId="0" borderId="0" xfId="0" applyBorder="1" applyAlignment="1" applyProtection="1">
      <alignment horizontal="left" vertical="center"/>
    </xf>
    <xf numFmtId="9" fontId="88" fillId="0" borderId="0" xfId="4" quotePrefix="1" applyFont="1" applyAlignment="1">
      <alignment horizontal="right"/>
    </xf>
    <xf numFmtId="175" fontId="88" fillId="0" borderId="0" xfId="2" applyNumberFormat="1" applyFont="1"/>
    <xf numFmtId="0" fontId="2" fillId="0" borderId="7" xfId="0" applyFont="1" applyBorder="1" applyAlignment="1">
      <alignment horizontal="center" wrapText="1"/>
    </xf>
    <xf numFmtId="0" fontId="12" fillId="2" borderId="7" xfId="0" applyFont="1" applyFill="1" applyBorder="1" applyAlignment="1" applyProtection="1">
      <alignment horizontal="center" vertical="center"/>
      <protection locked="0"/>
    </xf>
    <xf numFmtId="0" fontId="2" fillId="0" borderId="0" xfId="0" applyFont="1" applyFill="1" applyBorder="1" applyAlignment="1">
      <alignment horizontal="center" wrapText="1"/>
    </xf>
    <xf numFmtId="175" fontId="88" fillId="0" borderId="0" xfId="2" quotePrefix="1" applyNumberFormat="1" applyFont="1"/>
    <xf numFmtId="0" fontId="4" fillId="0" borderId="0" xfId="0" applyFont="1" applyFill="1" applyBorder="1" applyAlignment="1" applyProtection="1">
      <alignment horizontal="right"/>
    </xf>
    <xf numFmtId="0" fontId="40" fillId="0" borderId="0" xfId="2" applyFont="1" applyAlignment="1">
      <alignment horizontal="center"/>
    </xf>
    <xf numFmtId="0" fontId="91" fillId="0" borderId="17" xfId="0" applyFont="1" applyBorder="1" applyAlignment="1">
      <alignment vertical="center"/>
    </xf>
    <xf numFmtId="0" fontId="7" fillId="0" borderId="17" xfId="2" applyBorder="1"/>
    <xf numFmtId="1" fontId="0" fillId="0" borderId="0" xfId="0" applyNumberFormat="1" applyBorder="1" applyProtection="1"/>
    <xf numFmtId="0" fontId="0" fillId="0" borderId="0" xfId="4" applyNumberFormat="1" applyFont="1" applyAlignment="1">
      <alignment vertical="top"/>
    </xf>
    <xf numFmtId="0" fontId="0" fillId="0" borderId="0" xfId="4" applyNumberFormat="1" applyFont="1" applyAlignment="1"/>
    <xf numFmtId="0" fontId="8" fillId="0" borderId="0" xfId="0" applyFont="1" applyAlignment="1"/>
    <xf numFmtId="0" fontId="0" fillId="0" borderId="0" xfId="0" applyFont="1"/>
    <xf numFmtId="0" fontId="0" fillId="0" borderId="0" xfId="0" quotePrefix="1" applyAlignment="1">
      <alignment vertical="top"/>
    </xf>
    <xf numFmtId="40" fontId="123" fillId="16" borderId="54" xfId="0" applyNumberFormat="1" applyFont="1" applyFill="1" applyBorder="1" applyAlignment="1">
      <alignment horizontal="center" vertical="center"/>
    </xf>
    <xf numFmtId="40" fontId="123" fillId="16" borderId="131" xfId="0" applyNumberFormat="1" applyFont="1" applyFill="1" applyBorder="1" applyAlignment="1">
      <alignment horizontal="center" vertical="center"/>
    </xf>
    <xf numFmtId="0" fontId="59" fillId="0" borderId="17" xfId="0" applyFont="1" applyFill="1" applyBorder="1" applyAlignment="1">
      <alignment vertical="center"/>
    </xf>
    <xf numFmtId="0" fontId="59" fillId="0" borderId="76" xfId="0" applyFont="1" applyFill="1" applyBorder="1" applyAlignment="1">
      <alignment vertical="center"/>
    </xf>
    <xf numFmtId="0" fontId="59" fillId="0" borderId="96" xfId="0" applyFont="1" applyFill="1" applyBorder="1" applyAlignment="1">
      <alignment vertical="center"/>
    </xf>
    <xf numFmtId="0" fontId="59" fillId="0" borderId="0" xfId="0" applyFont="1" applyFill="1" applyBorder="1" applyAlignment="1">
      <alignment vertical="center"/>
    </xf>
    <xf numFmtId="0" fontId="0" fillId="0" borderId="0" xfId="0" applyAlignment="1">
      <alignment horizontal="left" vertical="center"/>
    </xf>
    <xf numFmtId="0" fontId="0" fillId="0" borderId="0" xfId="0" applyBorder="1" applyAlignment="1" applyProtection="1">
      <alignment horizontal="left" vertical="top" wrapText="1"/>
    </xf>
    <xf numFmtId="0" fontId="0" fillId="0" borderId="0" xfId="0" applyBorder="1" applyAlignment="1" applyProtection="1">
      <alignment vertical="top"/>
    </xf>
    <xf numFmtId="0" fontId="0" fillId="0" borderId="54" xfId="0" applyBorder="1"/>
    <xf numFmtId="0" fontId="0" fillId="0" borderId="0" xfId="0" applyAlignment="1">
      <alignment wrapText="1"/>
    </xf>
    <xf numFmtId="0" fontId="0" fillId="0" borderId="0" xfId="0" applyFill="1" applyBorder="1" applyAlignment="1" applyProtection="1">
      <alignment horizontal="right" vertical="center"/>
    </xf>
    <xf numFmtId="0" fontId="0" fillId="0" borderId="116" xfId="0" applyFill="1" applyBorder="1" applyAlignment="1" applyProtection="1">
      <alignment horizontal="center" vertical="center"/>
    </xf>
    <xf numFmtId="6" fontId="0" fillId="0" borderId="116" xfId="0" applyNumberFormat="1" applyBorder="1" applyAlignment="1" applyProtection="1">
      <alignment horizontal="center" vertical="center"/>
    </xf>
    <xf numFmtId="6" fontId="0" fillId="0" borderId="116" xfId="0" applyNumberFormat="1" applyBorder="1" applyAlignment="1" applyProtection="1">
      <alignment horizontal="right" vertical="center" indent="1"/>
    </xf>
    <xf numFmtId="0" fontId="114" fillId="0" borderId="0" xfId="0" applyFont="1" applyFill="1"/>
    <xf numFmtId="0" fontId="4" fillId="0" borderId="0" xfId="4" applyNumberFormat="1" applyFont="1" applyFill="1" applyBorder="1" applyAlignment="1">
      <alignment horizontal="center" vertical="center"/>
    </xf>
    <xf numFmtId="0" fontId="0" fillId="0" borderId="75" xfId="0" applyBorder="1"/>
    <xf numFmtId="0" fontId="4" fillId="0" borderId="0" xfId="0" applyFont="1" applyFill="1" applyAlignment="1">
      <alignment vertical="center"/>
    </xf>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center"/>
    </xf>
    <xf numFmtId="0" fontId="26" fillId="0" borderId="18" xfId="0" applyFont="1" applyFill="1" applyBorder="1" applyAlignment="1">
      <alignment horizontal="left" vertical="center" wrapText="1"/>
    </xf>
    <xf numFmtId="0" fontId="9" fillId="22" borderId="7" xfId="0" applyFont="1" applyFill="1" applyBorder="1"/>
    <xf numFmtId="0" fontId="6" fillId="0" borderId="6" xfId="0" applyFont="1" applyBorder="1" applyAlignment="1">
      <alignment horizontal="center"/>
    </xf>
    <xf numFmtId="0" fontId="0" fillId="22" borderId="1" xfId="0" applyFill="1" applyBorder="1"/>
    <xf numFmtId="0" fontId="0" fillId="22" borderId="6" xfId="0" applyFill="1" applyBorder="1" applyAlignment="1">
      <alignment horizontal="center"/>
    </xf>
    <xf numFmtId="0" fontId="7" fillId="7" borderId="0" xfId="2" applyFill="1"/>
    <xf numFmtId="0" fontId="0" fillId="0" borderId="0" xfId="0" applyFill="1" applyBorder="1" applyAlignment="1">
      <alignment horizontal="center"/>
    </xf>
    <xf numFmtId="49" fontId="0" fillId="0" borderId="0" xfId="0" applyNumberFormat="1" applyBorder="1" applyAlignment="1">
      <alignment vertical="center" wrapText="1"/>
    </xf>
    <xf numFmtId="49" fontId="0" fillId="0" borderId="0" xfId="0" applyNumberFormat="1" applyBorder="1" applyAlignment="1">
      <alignment vertical="center"/>
    </xf>
    <xf numFmtId="0" fontId="111" fillId="0" borderId="0" xfId="0" applyFont="1" applyAlignment="1">
      <alignment vertical="center"/>
    </xf>
    <xf numFmtId="0" fontId="111" fillId="0" borderId="128" xfId="0" applyFont="1" applyBorder="1" applyAlignment="1">
      <alignment vertical="center"/>
    </xf>
    <xf numFmtId="0" fontId="0" fillId="0" borderId="128" xfId="0" applyBorder="1"/>
    <xf numFmtId="0" fontId="0" fillId="0" borderId="0" xfId="0" applyAlignment="1">
      <alignment horizontal="left" vertical="center"/>
    </xf>
    <xf numFmtId="0" fontId="59" fillId="0" borderId="0" xfId="0" applyFont="1" applyAlignment="1">
      <alignment vertical="top" wrapText="1"/>
    </xf>
    <xf numFmtId="0" fontId="86" fillId="0" borderId="0" xfId="2" applyFont="1" applyFill="1"/>
    <xf numFmtId="0" fontId="0" fillId="0" borderId="0" xfId="0" applyAlignment="1" applyProtection="1">
      <alignment wrapText="1"/>
    </xf>
    <xf numFmtId="0" fontId="125" fillId="0" borderId="0" xfId="2" applyFont="1" applyAlignment="1">
      <alignment horizontal="center"/>
    </xf>
    <xf numFmtId="0" fontId="36" fillId="0" borderId="0" xfId="2" applyFont="1" applyAlignment="1">
      <alignment horizontal="center" vertical="center"/>
    </xf>
    <xf numFmtId="0" fontId="76" fillId="0" borderId="0" xfId="2" applyFont="1" applyBorder="1" applyAlignment="1">
      <alignment vertical="center" wrapText="1"/>
    </xf>
    <xf numFmtId="8" fontId="7" fillId="0" borderId="0" xfId="2" quotePrefix="1" applyNumberFormat="1" applyBorder="1" applyAlignment="1">
      <alignment horizontal="center"/>
    </xf>
    <xf numFmtId="0" fontId="7" fillId="0" borderId="0" xfId="2" quotePrefix="1" applyBorder="1"/>
    <xf numFmtId="0" fontId="7" fillId="0" borderId="42" xfId="2" applyBorder="1"/>
    <xf numFmtId="0" fontId="7" fillId="0" borderId="0" xfId="2" quotePrefix="1" applyFill="1" applyBorder="1"/>
    <xf numFmtId="0" fontId="52" fillId="0" borderId="0" xfId="2" quotePrefix="1" applyFont="1" applyAlignment="1"/>
    <xf numFmtId="174" fontId="37" fillId="0" borderId="0" xfId="2" applyNumberFormat="1" applyFont="1" applyAlignment="1"/>
    <xf numFmtId="0" fontId="35" fillId="0" borderId="0" xfId="2" applyFont="1" applyBorder="1"/>
    <xf numFmtId="0" fontId="0" fillId="0" borderId="0" xfId="0" applyAlignment="1">
      <alignment vertical="center" textRotation="90"/>
    </xf>
    <xf numFmtId="0" fontId="0" fillId="0" borderId="21" xfId="0" quotePrefix="1" applyFont="1" applyBorder="1" applyAlignment="1">
      <alignment horizontal="center" vertical="center"/>
    </xf>
    <xf numFmtId="0" fontId="0" fillId="0" borderId="0" xfId="0" applyBorder="1" applyAlignment="1" applyProtection="1">
      <alignment horizontal="center" wrapText="1"/>
    </xf>
    <xf numFmtId="0" fontId="126" fillId="0" borderId="0" xfId="0" applyFont="1" applyBorder="1"/>
    <xf numFmtId="0" fontId="127" fillId="0" borderId="0" xfId="0" applyFont="1" applyFill="1" applyBorder="1"/>
    <xf numFmtId="9" fontId="4" fillId="0" borderId="0" xfId="4" applyFont="1" applyFill="1" applyBorder="1" applyAlignment="1">
      <alignment horizontal="center" vertical="center"/>
    </xf>
    <xf numFmtId="0" fontId="0" fillId="0" borderId="18" xfId="0" quotePrefix="1" applyFill="1" applyBorder="1" applyAlignment="1">
      <alignment horizontal="center" vertical="center"/>
    </xf>
    <xf numFmtId="0" fontId="0" fillId="10" borderId="21" xfId="0" quotePrefix="1" applyFill="1" applyBorder="1" applyAlignment="1">
      <alignment horizontal="center" vertical="center"/>
    </xf>
    <xf numFmtId="191" fontId="0" fillId="0" borderId="76" xfId="4" applyNumberFormat="1" applyFont="1" applyFill="1" applyBorder="1" applyAlignment="1">
      <alignment horizontal="center" vertical="center"/>
    </xf>
    <xf numFmtId="0" fontId="0" fillId="0" borderId="0" xfId="0" applyFill="1" applyBorder="1" applyAlignment="1" applyProtection="1">
      <alignment horizontal="right"/>
    </xf>
    <xf numFmtId="0" fontId="0" fillId="0" borderId="0" xfId="0" applyBorder="1" applyAlignment="1" applyProtection="1">
      <alignment wrapText="1"/>
    </xf>
    <xf numFmtId="194" fontId="12" fillId="6" borderId="54" xfId="0" applyNumberFormat="1" applyFont="1" applyFill="1" applyBorder="1" applyAlignment="1" applyProtection="1">
      <alignment horizontal="center" vertical="center" wrapText="1"/>
    </xf>
    <xf numFmtId="0" fontId="0" fillId="0" borderId="18" xfId="0" applyFill="1" applyBorder="1" applyAlignment="1">
      <alignment horizontal="left" vertical="center" wrapText="1"/>
    </xf>
    <xf numFmtId="0" fontId="59" fillId="0" borderId="51" xfId="0" applyFont="1" applyFill="1" applyBorder="1" applyAlignment="1">
      <alignment vertical="center"/>
    </xf>
    <xf numFmtId="0" fontId="59" fillId="0" borderId="51" xfId="0" applyFont="1" applyFill="1" applyBorder="1"/>
    <xf numFmtId="0" fontId="0" fillId="0" borderId="51" xfId="0" applyFill="1" applyBorder="1" applyAlignment="1">
      <alignment horizontal="center" vertical="center"/>
    </xf>
    <xf numFmtId="0" fontId="59" fillId="0" borderId="76" xfId="0" applyFont="1" applyBorder="1"/>
    <xf numFmtId="0" fontId="0" fillId="0" borderId="0" xfId="0" quotePrefix="1" applyFill="1" applyBorder="1"/>
    <xf numFmtId="0" fontId="0" fillId="0" borderId="0" xfId="0" applyBorder="1" applyAlignment="1">
      <alignment horizontal="center" vertical="center"/>
    </xf>
    <xf numFmtId="9" fontId="0" fillId="0" borderId="0" xfId="0" applyNumberFormat="1" applyBorder="1" applyAlignment="1">
      <alignment horizontal="center" vertical="center"/>
    </xf>
    <xf numFmtId="191" fontId="0" fillId="0" borderId="0" xfId="4" applyNumberFormat="1" applyFont="1" applyFill="1" applyBorder="1" applyAlignment="1">
      <alignment horizontal="center" vertical="center"/>
    </xf>
    <xf numFmtId="0" fontId="0" fillId="0" borderId="76" xfId="0" quotePrefix="1" applyFill="1" applyBorder="1"/>
    <xf numFmtId="9" fontId="0" fillId="0" borderId="76" xfId="0" applyNumberFormat="1" applyBorder="1" applyAlignment="1">
      <alignment horizontal="center" vertical="center"/>
    </xf>
    <xf numFmtId="0" fontId="3" fillId="0" borderId="51" xfId="0" applyFont="1" applyBorder="1" applyAlignment="1">
      <alignment vertical="center"/>
    </xf>
    <xf numFmtId="191" fontId="0" fillId="0" borderId="0" xfId="0" applyNumberFormat="1" applyBorder="1" applyAlignment="1">
      <alignment horizontal="center" vertical="center"/>
    </xf>
    <xf numFmtId="0" fontId="0" fillId="16" borderId="76" xfId="0" applyFill="1" applyBorder="1" applyAlignment="1">
      <alignment horizontal="center" vertical="center"/>
    </xf>
    <xf numFmtId="184" fontId="12" fillId="6" borderId="94" xfId="0" applyNumberFormat="1" applyFont="1" applyFill="1" applyBorder="1" applyAlignment="1">
      <alignment horizontal="center" vertical="center"/>
    </xf>
    <xf numFmtId="0" fontId="12" fillId="6" borderId="0" xfId="0" applyFont="1" applyFill="1" applyBorder="1" applyAlignment="1">
      <alignment horizontal="center" vertical="center"/>
    </xf>
    <xf numFmtId="9" fontId="12" fillId="6" borderId="94" xfId="0" applyNumberFormat="1" applyFont="1" applyFill="1" applyBorder="1" applyAlignment="1">
      <alignment horizontal="center" vertical="center"/>
    </xf>
    <xf numFmtId="0" fontId="12" fillId="6" borderId="76" xfId="0" applyFont="1" applyFill="1" applyBorder="1" applyAlignment="1">
      <alignment horizontal="center" vertical="center"/>
    </xf>
    <xf numFmtId="0" fontId="4" fillId="0" borderId="0" xfId="0" applyFont="1" applyAlignment="1">
      <alignment vertical="center"/>
    </xf>
    <xf numFmtId="38" fontId="12" fillId="0" borderId="0" xfId="0" applyNumberFormat="1" applyFont="1" applyFill="1" applyBorder="1" applyAlignment="1" applyProtection="1">
      <alignment horizontal="center" vertical="center"/>
    </xf>
    <xf numFmtId="0" fontId="0" fillId="0" borderId="0" xfId="0" applyFill="1" applyAlignment="1">
      <alignment vertical="center"/>
    </xf>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center"/>
    </xf>
    <xf numFmtId="0" fontId="0" fillId="0" borderId="0" xfId="0" applyBorder="1" applyAlignment="1" applyProtection="1">
      <alignment horizontal="left" vertical="top"/>
    </xf>
    <xf numFmtId="0" fontId="2" fillId="0" borderId="7" xfId="0" applyFont="1" applyBorder="1" applyAlignment="1" applyProtection="1">
      <alignment horizontal="left" vertical="center" wrapText="1"/>
    </xf>
    <xf numFmtId="0" fontId="0" fillId="0" borderId="0" xfId="0" applyBorder="1" applyAlignment="1" applyProtection="1">
      <alignment vertical="center"/>
    </xf>
    <xf numFmtId="38" fontId="0" fillId="0" borderId="0" xfId="0" applyNumberFormat="1" applyAlignment="1">
      <alignment horizontal="center" vertical="center"/>
    </xf>
    <xf numFmtId="0" fontId="128" fillId="0" borderId="0" xfId="0" applyFont="1" applyFill="1" applyBorder="1" applyAlignment="1" applyProtection="1">
      <alignment horizontal="left" vertical="center" wrapText="1"/>
    </xf>
    <xf numFmtId="0" fontId="0" fillId="0" borderId="0" xfId="0" applyAlignment="1">
      <alignment horizontal="left" vertical="center"/>
    </xf>
    <xf numFmtId="0" fontId="0" fillId="0" borderId="0" xfId="0" applyBorder="1" applyAlignment="1" applyProtection="1">
      <alignment horizontal="left" vertical="center"/>
    </xf>
    <xf numFmtId="38" fontId="4" fillId="0" borderId="0" xfId="0" applyNumberFormat="1" applyFont="1" applyBorder="1" applyAlignment="1" applyProtection="1">
      <alignment horizontal="center" vertical="center"/>
    </xf>
    <xf numFmtId="0" fontId="0" fillId="0" borderId="0" xfId="0" applyBorder="1" applyAlignment="1" applyProtection="1">
      <alignment vertical="center"/>
    </xf>
    <xf numFmtId="0" fontId="0" fillId="0" borderId="17" xfId="0" applyBorder="1" applyAlignment="1" applyProtection="1">
      <alignment horizontal="left" vertical="center"/>
    </xf>
    <xf numFmtId="8" fontId="12" fillId="6" borderId="0" xfId="0" applyNumberFormat="1" applyFont="1" applyFill="1" applyBorder="1" applyAlignment="1">
      <alignment horizontal="right" vertical="center"/>
    </xf>
    <xf numFmtId="0" fontId="0" fillId="0" borderId="8" xfId="0" applyBorder="1"/>
    <xf numFmtId="8" fontId="12" fillId="6" borderId="8" xfId="0" applyNumberFormat="1" applyFont="1" applyFill="1" applyBorder="1" applyAlignment="1">
      <alignment horizontal="right" vertical="center"/>
    </xf>
    <xf numFmtId="0" fontId="0" fillId="0" borderId="8" xfId="0" applyBorder="1" applyAlignment="1">
      <alignment horizontal="center"/>
    </xf>
    <xf numFmtId="0" fontId="5" fillId="0" borderId="0" xfId="0" applyFont="1" applyAlignment="1">
      <alignment horizontal="right"/>
    </xf>
    <xf numFmtId="0" fontId="12" fillId="6" borderId="17" xfId="0" applyFont="1" applyFill="1" applyBorder="1"/>
    <xf numFmtId="0" fontId="128" fillId="8" borderId="0" xfId="0" applyFont="1" applyFill="1" applyBorder="1" applyAlignment="1" applyProtection="1">
      <alignment vertical="center"/>
    </xf>
    <xf numFmtId="0" fontId="128" fillId="8" borderId="0" xfId="0" quotePrefix="1" applyFont="1" applyFill="1" applyBorder="1" applyAlignment="1" applyProtection="1">
      <alignment vertical="center"/>
    </xf>
    <xf numFmtId="8" fontId="4" fillId="0" borderId="17" xfId="0" applyNumberFormat="1" applyFont="1" applyBorder="1" applyAlignment="1">
      <alignment horizontal="right" vertical="center"/>
    </xf>
    <xf numFmtId="38" fontId="0" fillId="0" borderId="0" xfId="0" applyNumberFormat="1"/>
    <xf numFmtId="0" fontId="0" fillId="7" borderId="0" xfId="0" applyFill="1" applyBorder="1" applyAlignment="1">
      <alignment horizontal="center" vertical="center"/>
    </xf>
    <xf numFmtId="0" fontId="0" fillId="7" borderId="0" xfId="0" applyFill="1" applyAlignment="1">
      <alignment horizontal="center" vertical="center"/>
    </xf>
    <xf numFmtId="0" fontId="4" fillId="0" borderId="0" xfId="0" applyFont="1" applyFill="1" applyAlignment="1" applyProtection="1">
      <alignment vertical="center"/>
    </xf>
    <xf numFmtId="0" fontId="129" fillId="0" borderId="0" xfId="0" applyFont="1" applyAlignment="1">
      <alignment horizontal="left" vertical="center" indent="15"/>
    </xf>
    <xf numFmtId="0" fontId="0" fillId="0" borderId="0" xfId="0" applyAlignment="1">
      <alignment horizontal="left" vertical="center" indent="15"/>
    </xf>
    <xf numFmtId="0" fontId="129" fillId="0" borderId="0" xfId="0" applyFont="1" applyAlignment="1">
      <alignment horizontal="left" vertical="center"/>
    </xf>
    <xf numFmtId="0" fontId="6" fillId="0" borderId="0" xfId="0" applyFont="1" applyAlignment="1">
      <alignment horizontal="left" vertical="top"/>
    </xf>
    <xf numFmtId="0" fontId="8" fillId="0" borderId="0" xfId="0" applyFont="1" applyAlignment="1">
      <alignment vertical="center" wrapText="1"/>
    </xf>
    <xf numFmtId="8" fontId="0" fillId="0" borderId="0" xfId="0" applyNumberFormat="1" applyAlignment="1" applyProtection="1">
      <alignment horizontal="left" vertical="top"/>
    </xf>
    <xf numFmtId="8" fontId="4" fillId="0" borderId="0" xfId="0" applyNumberFormat="1" applyFont="1" applyBorder="1" applyAlignment="1">
      <alignment horizontal="right" vertical="center"/>
    </xf>
    <xf numFmtId="8" fontId="4" fillId="0" borderId="0" xfId="0" applyNumberFormat="1" applyFont="1" applyFill="1" applyBorder="1" applyAlignment="1">
      <alignment horizontal="right" vertical="center"/>
    </xf>
    <xf numFmtId="0" fontId="0" fillId="7" borderId="42" xfId="0" applyFill="1" applyBorder="1" applyAlignment="1">
      <alignment horizontal="center" vertical="center"/>
    </xf>
    <xf numFmtId="0" fontId="0" fillId="7" borderId="14" xfId="0" applyFill="1" applyBorder="1" applyAlignment="1">
      <alignment horizontal="center" vertical="center"/>
    </xf>
    <xf numFmtId="0" fontId="12" fillId="6" borderId="19" xfId="0" applyFont="1" applyFill="1" applyBorder="1" applyAlignment="1">
      <alignment horizontal="center" vertical="center"/>
    </xf>
    <xf numFmtId="0" fontId="0" fillId="0" borderId="0" xfId="0" applyAlignment="1">
      <alignment horizontal="right"/>
    </xf>
    <xf numFmtId="0" fontId="0" fillId="0" borderId="17" xfId="0" applyBorder="1" applyAlignment="1">
      <alignment horizontal="left" vertical="center"/>
    </xf>
    <xf numFmtId="8" fontId="4" fillId="0" borderId="51" xfId="0" applyNumberFormat="1" applyFont="1" applyFill="1" applyBorder="1" applyAlignment="1">
      <alignment horizontal="right" vertical="center"/>
    </xf>
    <xf numFmtId="0" fontId="4" fillId="0" borderId="18" xfId="0" applyFont="1" applyFill="1" applyBorder="1" applyAlignment="1" applyProtection="1">
      <alignment horizontal="center" vertical="center"/>
    </xf>
    <xf numFmtId="195" fontId="0" fillId="0" borderId="1" xfId="0" applyNumberFormat="1" applyBorder="1" applyAlignment="1" applyProtection="1">
      <alignment vertical="center"/>
    </xf>
    <xf numFmtId="44" fontId="4" fillId="8" borderId="8" xfId="1" applyFont="1" applyFill="1" applyBorder="1" applyAlignment="1" applyProtection="1">
      <alignment horizontal="left" vertical="center"/>
    </xf>
    <xf numFmtId="49" fontId="0" fillId="0" borderId="0" xfId="0" applyNumberFormat="1"/>
    <xf numFmtId="49" fontId="2" fillId="0" borderId="0" xfId="0" applyNumberFormat="1" applyFont="1" applyAlignment="1">
      <alignment horizontal="left" vertical="top"/>
    </xf>
    <xf numFmtId="6" fontId="0" fillId="0" borderId="28" xfId="0" applyNumberFormat="1" applyBorder="1" applyAlignment="1">
      <alignment vertical="center"/>
    </xf>
    <xf numFmtId="195" fontId="0" fillId="0" borderId="1" xfId="0" applyNumberFormat="1" applyBorder="1" applyAlignment="1">
      <alignment vertical="center"/>
    </xf>
    <xf numFmtId="0" fontId="0" fillId="7" borderId="12" xfId="0" applyFill="1" applyBorder="1" applyAlignment="1">
      <alignment horizontal="center" vertical="center"/>
    </xf>
    <xf numFmtId="0" fontId="0" fillId="0" borderId="18" xfId="0" applyBorder="1" applyAlignment="1" applyProtection="1">
      <alignment horizontal="left" vertical="center"/>
    </xf>
    <xf numFmtId="0" fontId="0" fillId="0" borderId="51" xfId="0" applyBorder="1" applyAlignment="1" applyProtection="1">
      <alignment horizontal="left" vertical="center"/>
    </xf>
    <xf numFmtId="0" fontId="0" fillId="0" borderId="51" xfId="0" applyBorder="1" applyAlignment="1" applyProtection="1">
      <alignment vertical="center"/>
    </xf>
    <xf numFmtId="172" fontId="0" fillId="0" borderId="2" xfId="0" applyNumberFormat="1" applyBorder="1" applyAlignment="1" applyProtection="1">
      <alignment vertical="center"/>
    </xf>
    <xf numFmtId="0" fontId="12" fillId="6" borderId="50" xfId="0" applyFont="1" applyFill="1" applyBorder="1" applyAlignment="1">
      <alignment horizontal="center" vertical="center"/>
    </xf>
    <xf numFmtId="0" fontId="12" fillId="6" borderId="70" xfId="0" applyFont="1" applyFill="1" applyBorder="1" applyAlignment="1">
      <alignment horizontal="center" vertical="center"/>
    </xf>
    <xf numFmtId="0" fontId="0" fillId="0" borderId="74" xfId="0" applyBorder="1"/>
    <xf numFmtId="168" fontId="2" fillId="0" borderId="0" xfId="0" applyNumberFormat="1" applyFont="1" applyFill="1" applyBorder="1" applyAlignment="1" applyProtection="1">
      <alignment horizontal="right" vertical="top" wrapText="1"/>
    </xf>
    <xf numFmtId="0" fontId="2" fillId="0" borderId="0" xfId="0" applyFont="1" applyBorder="1" applyAlignment="1" applyProtection="1">
      <alignment horizontal="right" vertical="center"/>
    </xf>
    <xf numFmtId="0" fontId="2" fillId="0" borderId="0" xfId="0" applyFont="1" applyBorder="1" applyAlignment="1" applyProtection="1">
      <alignment horizontal="right" vertical="top"/>
    </xf>
    <xf numFmtId="168" fontId="2" fillId="0" borderId="0" xfId="0" applyNumberFormat="1" applyFont="1" applyBorder="1" applyAlignment="1" applyProtection="1">
      <alignment horizontal="right" vertical="top"/>
    </xf>
    <xf numFmtId="168" fontId="2" fillId="0" borderId="0" xfId="0" applyNumberFormat="1" applyFont="1" applyBorder="1" applyAlignment="1" applyProtection="1">
      <alignment horizontal="right"/>
    </xf>
    <xf numFmtId="168" fontId="2" fillId="0" borderId="0" xfId="0" applyNumberFormat="1" applyFont="1" applyBorder="1" applyAlignment="1" applyProtection="1">
      <alignment horizontal="right" vertical="center"/>
    </xf>
    <xf numFmtId="0" fontId="0" fillId="23" borderId="0" xfId="0" applyFill="1" applyAlignment="1">
      <alignment vertical="center"/>
    </xf>
    <xf numFmtId="0" fontId="0" fillId="13" borderId="0" xfId="0" quotePrefix="1" applyFill="1"/>
    <xf numFmtId="0" fontId="0" fillId="0" borderId="13" xfId="0" applyBorder="1"/>
    <xf numFmtId="0" fontId="0" fillId="0" borderId="44" xfId="0" applyBorder="1"/>
    <xf numFmtId="197" fontId="0" fillId="0" borderId="0" xfId="0" applyNumberFormat="1" applyAlignment="1">
      <alignment vertical="center"/>
    </xf>
    <xf numFmtId="0" fontId="2" fillId="24" borderId="7" xfId="0" applyFont="1" applyFill="1" applyBorder="1" applyAlignment="1">
      <alignment horizontal="center"/>
    </xf>
    <xf numFmtId="175" fontId="40" fillId="0" borderId="11" xfId="2" quotePrefix="1" applyNumberFormat="1" applyFont="1" applyFill="1" applyBorder="1"/>
    <xf numFmtId="175" fontId="40" fillId="0" borderId="15" xfId="2" applyNumberFormat="1" applyFont="1" applyFill="1" applyBorder="1"/>
    <xf numFmtId="175" fontId="40" fillId="0" borderId="15" xfId="2" quotePrefix="1" applyNumberFormat="1" applyFont="1" applyFill="1" applyBorder="1"/>
    <xf numFmtId="175" fontId="125" fillId="0" borderId="15" xfId="2" applyNumberFormat="1" applyFont="1" applyFill="1" applyBorder="1" applyAlignment="1"/>
    <xf numFmtId="0" fontId="40" fillId="0" borderId="15" xfId="2" quotePrefix="1" applyFont="1" applyFill="1" applyBorder="1"/>
    <xf numFmtId="175" fontId="40" fillId="0" borderId="12" xfId="2" applyNumberFormat="1" applyFont="1" applyFill="1" applyBorder="1"/>
    <xf numFmtId="3" fontId="0" fillId="0" borderId="0" xfId="0" quotePrefix="1" applyNumberFormat="1"/>
    <xf numFmtId="172" fontId="12" fillId="0" borderId="0" xfId="0" applyNumberFormat="1" applyFont="1" applyFill="1" applyBorder="1" applyAlignment="1" applyProtection="1">
      <alignment vertical="center"/>
    </xf>
    <xf numFmtId="0" fontId="12" fillId="0" borderId="0" xfId="0" applyFont="1" applyFill="1" applyBorder="1" applyAlignment="1" applyProtection="1">
      <alignment vertical="center"/>
    </xf>
    <xf numFmtId="8" fontId="12" fillId="0" borderId="0" xfId="0" applyNumberFormat="1" applyFont="1" applyBorder="1" applyProtection="1"/>
    <xf numFmtId="182" fontId="4" fillId="0" borderId="11" xfId="0" applyNumberFormat="1" applyFont="1" applyBorder="1" applyAlignment="1">
      <alignment horizontal="center" vertical="center"/>
    </xf>
    <xf numFmtId="0" fontId="0" fillId="0" borderId="0" xfId="0" applyAlignment="1">
      <alignment horizontal="left" vertical="center"/>
    </xf>
    <xf numFmtId="173" fontId="7" fillId="0" borderId="0" xfId="1" applyNumberFormat="1" applyFont="1" applyFill="1" applyAlignment="1">
      <alignment horizontal="center"/>
    </xf>
    <xf numFmtId="0" fontId="4" fillId="8" borderId="0" xfId="0" applyFont="1" applyFill="1" applyBorder="1" applyAlignment="1" applyProtection="1">
      <alignment horizontal="left" vertical="top"/>
    </xf>
    <xf numFmtId="0" fontId="4" fillId="8" borderId="0" xfId="0" applyFont="1" applyFill="1" applyBorder="1" applyAlignment="1" applyProtection="1">
      <alignment horizontal="left" vertical="top" wrapText="1"/>
    </xf>
    <xf numFmtId="168" fontId="10" fillId="0" borderId="0" xfId="0" applyNumberFormat="1" applyFont="1" applyBorder="1" applyAlignment="1" applyProtection="1">
      <alignment horizontal="right" vertical="top"/>
    </xf>
    <xf numFmtId="0" fontId="0" fillId="8" borderId="18" xfId="0" applyFill="1" applyBorder="1" applyAlignment="1">
      <alignment horizontal="left" vertical="center" wrapText="1"/>
    </xf>
    <xf numFmtId="0" fontId="0" fillId="0" borderId="0" xfId="0" applyFont="1" applyFill="1" applyBorder="1" applyAlignment="1">
      <alignment horizontal="left" vertical="center" wrapText="1"/>
    </xf>
    <xf numFmtId="0" fontId="0" fillId="8" borderId="0" xfId="0" applyFill="1" applyAlignment="1">
      <alignment vertical="center"/>
    </xf>
    <xf numFmtId="9" fontId="113" fillId="0" borderId="0" xfId="4" applyFont="1" applyFill="1" applyAlignment="1">
      <alignment horizontal="center"/>
    </xf>
    <xf numFmtId="0" fontId="37" fillId="0" borderId="0" xfId="2" applyFont="1" applyFill="1" applyAlignment="1">
      <alignment horizontal="left"/>
    </xf>
    <xf numFmtId="0" fontId="12" fillId="0" borderId="0" xfId="0" applyFont="1" applyFill="1" applyAlignment="1">
      <alignment vertical="center"/>
    </xf>
    <xf numFmtId="182" fontId="0" fillId="0" borderId="0" xfId="0" applyNumberFormat="1"/>
    <xf numFmtId="0" fontId="0" fillId="0" borderId="132" xfId="0" applyBorder="1" applyAlignment="1">
      <alignment horizontal="right"/>
    </xf>
    <xf numFmtId="0" fontId="0" fillId="0" borderId="133" xfId="0" applyBorder="1"/>
    <xf numFmtId="0" fontId="0" fillId="0" borderId="134" xfId="0" applyBorder="1" applyAlignment="1">
      <alignment horizontal="right"/>
    </xf>
    <xf numFmtId="0" fontId="0" fillId="0" borderId="135" xfId="0" applyBorder="1"/>
    <xf numFmtId="0" fontId="0" fillId="0" borderId="136" xfId="0" applyBorder="1" applyAlignment="1">
      <alignment horizontal="right"/>
    </xf>
    <xf numFmtId="0" fontId="0" fillId="0" borderId="137" xfId="0" applyBorder="1"/>
    <xf numFmtId="0" fontId="0" fillId="0" borderId="138" xfId="0" applyBorder="1" applyAlignment="1">
      <alignment horizontal="right"/>
    </xf>
    <xf numFmtId="0" fontId="0" fillId="0" borderId="97" xfId="0" applyBorder="1"/>
    <xf numFmtId="198" fontId="0" fillId="10" borderId="0" xfId="0" applyNumberFormat="1" applyFill="1" applyAlignment="1">
      <alignment vertical="center"/>
    </xf>
    <xf numFmtId="0" fontId="2" fillId="0" borderId="0" xfId="0" applyFont="1" applyAlignment="1">
      <alignment vertical="top"/>
    </xf>
    <xf numFmtId="178" fontId="12" fillId="6" borderId="54" xfId="0" applyNumberFormat="1" applyFont="1" applyFill="1" applyBorder="1" applyAlignment="1">
      <alignment horizontal="center" vertical="center" wrapText="1"/>
    </xf>
    <xf numFmtId="0" fontId="0" fillId="0" borderId="0" xfId="0" applyAlignment="1">
      <alignment horizontal="left" vertical="center"/>
    </xf>
    <xf numFmtId="0" fontId="132" fillId="0" borderId="0" xfId="0" applyFont="1" applyBorder="1" applyProtection="1"/>
    <xf numFmtId="0" fontId="132" fillId="0" borderId="0" xfId="0" applyFont="1" applyAlignment="1" applyProtection="1">
      <alignment vertical="center"/>
    </xf>
    <xf numFmtId="0" fontId="132" fillId="0" borderId="0" xfId="0" applyFont="1" applyBorder="1" applyAlignment="1" applyProtection="1">
      <alignment vertical="center"/>
    </xf>
    <xf numFmtId="6" fontId="0" fillId="0" borderId="28" xfId="0" applyNumberFormat="1" applyFill="1" applyBorder="1" applyAlignment="1" applyProtection="1">
      <alignment vertical="center"/>
    </xf>
    <xf numFmtId="0" fontId="131" fillId="0" borderId="0" xfId="0" applyFont="1" applyAlignment="1" applyProtection="1">
      <alignment vertical="center"/>
    </xf>
    <xf numFmtId="0" fontId="131" fillId="0" borderId="0" xfId="0" applyFont="1" applyBorder="1" applyAlignment="1" applyProtection="1">
      <alignment vertical="center"/>
    </xf>
    <xf numFmtId="167" fontId="2" fillId="0" borderId="0" xfId="0" applyNumberFormat="1" applyFont="1" applyAlignment="1">
      <alignment horizontal="left" vertical="center"/>
    </xf>
    <xf numFmtId="6" fontId="0" fillId="0" borderId="1" xfId="0" applyNumberFormat="1" applyBorder="1" applyAlignment="1">
      <alignment vertical="center"/>
    </xf>
    <xf numFmtId="0" fontId="0" fillId="0" borderId="1" xfId="0" applyNumberFormat="1" applyBorder="1" applyAlignment="1" applyProtection="1">
      <alignment horizontal="right" vertical="center"/>
    </xf>
    <xf numFmtId="0" fontId="0" fillId="8" borderId="1" xfId="0" applyNumberFormat="1" applyFill="1" applyBorder="1" applyAlignment="1">
      <alignment horizontal="right" vertical="center"/>
    </xf>
    <xf numFmtId="6" fontId="0" fillId="0" borderId="8" xfId="0" applyNumberFormat="1" applyBorder="1" applyAlignment="1" applyProtection="1">
      <alignment vertical="center"/>
    </xf>
    <xf numFmtId="0" fontId="0" fillId="0" borderId="1" xfId="0" applyBorder="1" applyAlignment="1">
      <alignment horizontal="right" vertical="center"/>
    </xf>
    <xf numFmtId="0" fontId="2" fillId="9" borderId="0" xfId="0" applyFont="1" applyFill="1" applyBorder="1" applyAlignment="1">
      <alignment horizontal="left"/>
    </xf>
    <xf numFmtId="49" fontId="0" fillId="0" borderId="17" xfId="0" applyNumberFormat="1" applyBorder="1" applyAlignment="1">
      <alignment vertical="center"/>
    </xf>
    <xf numFmtId="0" fontId="2" fillId="0" borderId="7" xfId="0" applyFont="1" applyBorder="1" applyAlignment="1">
      <alignment horizontal="center"/>
    </xf>
    <xf numFmtId="0" fontId="0" fillId="10" borderId="18" xfId="0" applyFill="1" applyBorder="1" applyAlignment="1">
      <alignment horizontal="left" vertical="center" wrapText="1"/>
    </xf>
    <xf numFmtId="6" fontId="102" fillId="0" borderId="0" xfId="0" applyNumberFormat="1" applyFont="1" applyBorder="1" applyAlignment="1" applyProtection="1">
      <alignment horizontal="right" vertical="center"/>
    </xf>
    <xf numFmtId="0" fontId="0" fillId="0" borderId="0" xfId="0" quotePrefix="1" applyProtection="1"/>
    <xf numFmtId="199" fontId="0" fillId="0" borderId="0" xfId="0" applyNumberFormat="1" applyAlignment="1">
      <alignment horizontal="center" vertical="center"/>
    </xf>
    <xf numFmtId="0" fontId="59" fillId="0" borderId="94" xfId="0" applyFont="1" applyFill="1" applyBorder="1" applyAlignment="1">
      <alignment vertical="center"/>
    </xf>
    <xf numFmtId="0" fontId="59" fillId="0" borderId="0" xfId="0" applyFont="1" applyFill="1" applyAlignment="1">
      <alignment vertical="center"/>
    </xf>
    <xf numFmtId="0" fontId="0" fillId="0" borderId="95" xfId="0" applyFill="1" applyBorder="1" applyAlignment="1">
      <alignment vertical="center"/>
    </xf>
    <xf numFmtId="0" fontId="0" fillId="0" borderId="0" xfId="0" applyBorder="1" applyAlignment="1">
      <alignment horizontal="right" vertical="center"/>
    </xf>
    <xf numFmtId="191" fontId="0" fillId="0" borderId="0" xfId="4" applyNumberFormat="1" applyFont="1" applyBorder="1" applyAlignment="1">
      <alignment horizontal="center" vertical="center"/>
    </xf>
    <xf numFmtId="0" fontId="5" fillId="0" borderId="0" xfId="0" applyFont="1" applyAlignment="1">
      <alignment horizontal="center"/>
    </xf>
    <xf numFmtId="0" fontId="0" fillId="0" borderId="17" xfId="0" applyBorder="1" applyAlignment="1">
      <alignment horizontal="center" vertical="center"/>
    </xf>
    <xf numFmtId="0" fontId="0" fillId="0" borderId="75" xfId="0" applyFill="1" applyBorder="1"/>
    <xf numFmtId="9" fontId="0" fillId="0" borderId="75" xfId="4" applyFont="1" applyFill="1" applyBorder="1" applyAlignment="1">
      <alignment horizontal="center" vertical="center"/>
    </xf>
    <xf numFmtId="0" fontId="0" fillId="0" borderId="75" xfId="0" applyBorder="1" applyAlignment="1">
      <alignment horizontal="right" vertical="center"/>
    </xf>
    <xf numFmtId="191" fontId="0" fillId="0" borderId="75" xfId="4" applyNumberFormat="1" applyFont="1" applyBorder="1" applyAlignment="1">
      <alignment horizontal="center" vertical="center"/>
    </xf>
    <xf numFmtId="0" fontId="0" fillId="0" borderId="75" xfId="0" applyBorder="1" applyAlignment="1">
      <alignment horizontal="center" vertical="center"/>
    </xf>
    <xf numFmtId="0" fontId="0" fillId="0" borderId="54" xfId="0" applyFill="1" applyBorder="1" applyAlignment="1">
      <alignment vertical="center"/>
    </xf>
    <xf numFmtId="0" fontId="9" fillId="0" borderId="7" xfId="0" applyFont="1" applyBorder="1" applyAlignment="1">
      <alignment vertical="center"/>
    </xf>
    <xf numFmtId="0" fontId="6" fillId="0" borderId="7" xfId="0" applyFont="1" applyBorder="1" applyAlignment="1">
      <alignment horizontal="center" vertical="center"/>
    </xf>
    <xf numFmtId="0" fontId="12" fillId="6" borderId="75" xfId="0" applyFont="1" applyFill="1" applyBorder="1" applyAlignment="1">
      <alignment horizontal="center" vertical="center"/>
    </xf>
    <xf numFmtId="0" fontId="111" fillId="0" borderId="0" xfId="0" applyFont="1" applyBorder="1" applyAlignment="1">
      <alignment vertical="center"/>
    </xf>
    <xf numFmtId="0" fontId="0" fillId="0" borderId="0" xfId="0" applyFont="1" applyAlignment="1">
      <alignment vertical="center"/>
    </xf>
    <xf numFmtId="0" fontId="111" fillId="0" borderId="0" xfId="0" applyFont="1" applyFill="1" applyAlignment="1">
      <alignment vertical="center"/>
    </xf>
    <xf numFmtId="0" fontId="111" fillId="0" borderId="0" xfId="0" applyFont="1" applyAlignment="1">
      <alignment horizontal="right" vertical="center"/>
    </xf>
    <xf numFmtId="0" fontId="0" fillId="0" borderId="0" xfId="0" applyBorder="1" applyAlignment="1" applyProtection="1">
      <alignment horizontal="left" vertical="center"/>
    </xf>
    <xf numFmtId="38" fontId="4" fillId="0" borderId="0" xfId="0" applyNumberFormat="1" applyFont="1" applyFill="1" applyBorder="1" applyAlignment="1" applyProtection="1">
      <alignment horizontal="center" vertical="center"/>
    </xf>
    <xf numFmtId="0" fontId="0" fillId="0" borderId="0" xfId="0" applyAlignment="1">
      <alignment horizontal="left" vertical="center"/>
    </xf>
    <xf numFmtId="0" fontId="0" fillId="0" borderId="0" xfId="0" applyBorder="1" applyAlignment="1" applyProtection="1">
      <alignment vertical="center"/>
    </xf>
    <xf numFmtId="0" fontId="0" fillId="0" borderId="0" xfId="0" applyBorder="1" applyAlignment="1" applyProtection="1">
      <alignment vertical="top"/>
    </xf>
    <xf numFmtId="200" fontId="12" fillId="6" borderId="54" xfId="0" applyNumberFormat="1" applyFont="1" applyFill="1" applyBorder="1" applyAlignment="1">
      <alignment horizontal="center" vertical="center"/>
    </xf>
    <xf numFmtId="200" fontId="12" fillId="6" borderId="55" xfId="0" applyNumberFormat="1" applyFont="1" applyFill="1" applyBorder="1" applyAlignment="1">
      <alignment horizontal="center" vertical="center"/>
    </xf>
    <xf numFmtId="202" fontId="0" fillId="0" borderId="17" xfId="0" applyNumberFormat="1" applyBorder="1" applyAlignment="1">
      <alignment horizontal="center" vertical="center"/>
    </xf>
    <xf numFmtId="202" fontId="0" fillId="0" borderId="18" xfId="0" applyNumberFormat="1" applyBorder="1" applyAlignment="1">
      <alignment horizontal="center" vertical="center"/>
    </xf>
    <xf numFmtId="198" fontId="0" fillId="0" borderId="0" xfId="0" applyNumberFormat="1" applyAlignment="1">
      <alignment horizontal="right" vertical="center"/>
    </xf>
    <xf numFmtId="198" fontId="0" fillId="0" borderId="8" xfId="0" applyNumberFormat="1" applyBorder="1" applyAlignment="1">
      <alignment horizontal="right" vertical="center"/>
    </xf>
    <xf numFmtId="201" fontId="4" fillId="0" borderId="131" xfId="0" applyNumberFormat="1" applyFont="1" applyFill="1" applyBorder="1" applyAlignment="1">
      <alignment horizontal="center" vertical="center"/>
    </xf>
    <xf numFmtId="202" fontId="0" fillId="0" borderId="52" xfId="0" applyNumberFormat="1" applyBorder="1" applyAlignment="1">
      <alignment horizontal="center" vertical="center"/>
    </xf>
    <xf numFmtId="198" fontId="0" fillId="0" borderId="0" xfId="0" applyNumberFormat="1" applyFill="1" applyBorder="1" applyAlignment="1">
      <alignment horizontal="right" vertical="center"/>
    </xf>
    <xf numFmtId="198" fontId="0" fillId="0" borderId="2" xfId="0" applyNumberFormat="1" applyFill="1" applyBorder="1" applyAlignment="1">
      <alignment horizontal="right" vertical="center"/>
    </xf>
    <xf numFmtId="198" fontId="0" fillId="0" borderId="8" xfId="0" applyNumberFormat="1" applyFill="1" applyBorder="1" applyAlignment="1">
      <alignment horizontal="right" vertical="center"/>
    </xf>
    <xf numFmtId="0" fontId="0" fillId="16" borderId="0" xfId="0" applyFill="1" applyAlignment="1" applyProtection="1">
      <alignment wrapText="1"/>
    </xf>
    <xf numFmtId="204" fontId="0" fillId="0" borderId="0" xfId="0" quotePrefix="1" applyNumberFormat="1"/>
    <xf numFmtId="197" fontId="0" fillId="0" borderId="0" xfId="0" applyNumberFormat="1" applyAlignment="1">
      <alignment horizontal="center" vertical="center"/>
    </xf>
    <xf numFmtId="180" fontId="0" fillId="0" borderId="0" xfId="0" applyNumberFormat="1" applyAlignment="1">
      <alignment horizontal="center" vertical="center"/>
    </xf>
    <xf numFmtId="197" fontId="0" fillId="0" borderId="0" xfId="0" applyNumberFormat="1" applyBorder="1" applyAlignment="1">
      <alignment vertical="center"/>
    </xf>
    <xf numFmtId="197" fontId="0" fillId="0" borderId="8" xfId="0" applyNumberFormat="1" applyBorder="1" applyAlignment="1">
      <alignment vertical="center"/>
    </xf>
    <xf numFmtId="180" fontId="0" fillId="0" borderId="8" xfId="0" applyNumberFormat="1" applyBorder="1" applyAlignment="1">
      <alignment horizontal="center" vertical="center"/>
    </xf>
    <xf numFmtId="180" fontId="0" fillId="0" borderId="7" xfId="0" applyNumberFormat="1" applyFont="1" applyBorder="1" applyAlignment="1">
      <alignment horizontal="center" vertical="center"/>
    </xf>
    <xf numFmtId="38" fontId="4" fillId="0" borderId="0" xfId="0" applyNumberFormat="1" applyFont="1" applyFill="1" applyBorder="1" applyAlignment="1" applyProtection="1">
      <alignment horizontal="center" vertical="center"/>
    </xf>
    <xf numFmtId="0" fontId="11" fillId="0" borderId="0" xfId="0" applyFont="1" applyFill="1" applyBorder="1" applyAlignment="1" applyProtection="1">
      <alignment horizontal="left" vertical="center" wrapText="1"/>
    </xf>
    <xf numFmtId="0" fontId="95" fillId="0" borderId="0" xfId="5"/>
    <xf numFmtId="197" fontId="0" fillId="0" borderId="54" xfId="0" applyNumberFormat="1" applyBorder="1" applyAlignment="1">
      <alignment vertical="center"/>
    </xf>
    <xf numFmtId="180" fontId="0" fillId="0" borderId="54" xfId="0" applyNumberFormat="1" applyBorder="1" applyAlignment="1">
      <alignment horizontal="center" vertical="center"/>
    </xf>
    <xf numFmtId="180" fontId="0" fillId="0" borderId="7" xfId="0" applyNumberFormat="1" applyBorder="1" applyAlignment="1">
      <alignment horizontal="center" vertical="center"/>
    </xf>
    <xf numFmtId="180" fontId="0" fillId="0" borderId="11" xfId="0" applyNumberFormat="1" applyBorder="1" applyAlignment="1">
      <alignment horizontal="center" vertical="center"/>
    </xf>
    <xf numFmtId="198" fontId="5" fillId="0" borderId="0" xfId="0" applyNumberFormat="1" applyFont="1" applyAlignment="1">
      <alignment horizontal="right"/>
    </xf>
    <xf numFmtId="197" fontId="0" fillId="0" borderId="0" xfId="0" applyNumberFormat="1" applyFill="1" applyAlignment="1">
      <alignment horizontal="center" vertical="center"/>
    </xf>
    <xf numFmtId="0" fontId="0" fillId="0" borderId="8" xfId="0" applyBorder="1" applyAlignment="1">
      <alignment horizontal="center" vertical="center"/>
    </xf>
    <xf numFmtId="180" fontId="2" fillId="0" borderId="7" xfId="0" applyNumberFormat="1" applyFont="1" applyBorder="1" applyAlignment="1">
      <alignment horizontal="center" vertical="center"/>
    </xf>
    <xf numFmtId="0" fontId="108" fillId="0" borderId="0" xfId="0" applyFont="1" applyBorder="1" applyAlignment="1" applyProtection="1">
      <alignment vertical="top"/>
    </xf>
    <xf numFmtId="0" fontId="108" fillId="0" borderId="0" xfId="0" applyFont="1" applyBorder="1" applyAlignment="1" applyProtection="1">
      <alignment horizontal="right" vertical="center"/>
    </xf>
    <xf numFmtId="0" fontId="4" fillId="0" borderId="0" xfId="0" applyFont="1" applyBorder="1" applyAlignment="1" applyProtection="1">
      <alignment horizontal="left" vertical="center"/>
    </xf>
    <xf numFmtId="0" fontId="11" fillId="0" borderId="0" xfId="0" applyFont="1" applyAlignment="1">
      <alignment horizontal="left" vertical="center" wrapText="1"/>
    </xf>
    <xf numFmtId="201" fontId="4" fillId="0" borderId="131" xfId="0" applyNumberFormat="1" applyFont="1" applyBorder="1" applyAlignment="1">
      <alignment horizontal="center" vertical="center"/>
    </xf>
    <xf numFmtId="200" fontId="12" fillId="6" borderId="128" xfId="0" applyNumberFormat="1" applyFont="1" applyFill="1" applyBorder="1" applyAlignment="1">
      <alignment horizontal="center" vertical="center"/>
    </xf>
    <xf numFmtId="202" fontId="0" fillId="0" borderId="51" xfId="0" applyNumberFormat="1" applyBorder="1" applyAlignment="1">
      <alignment horizontal="center" vertical="center"/>
    </xf>
    <xf numFmtId="201" fontId="4" fillId="0" borderId="8" xfId="0" applyNumberFormat="1" applyFont="1" applyBorder="1" applyAlignment="1">
      <alignment horizontal="center" vertical="center"/>
    </xf>
    <xf numFmtId="202" fontId="0" fillId="0" borderId="8" xfId="0" applyNumberFormat="1" applyBorder="1" applyAlignment="1">
      <alignment horizontal="center" vertical="center"/>
    </xf>
    <xf numFmtId="198" fontId="0" fillId="0" borderId="0" xfId="0" applyNumberFormat="1" applyBorder="1" applyAlignment="1">
      <alignment horizontal="right" vertical="center"/>
    </xf>
    <xf numFmtId="201" fontId="4" fillId="0" borderId="95" xfId="0" applyNumberFormat="1" applyFont="1" applyFill="1" applyBorder="1" applyAlignment="1">
      <alignment horizontal="center" vertical="center"/>
    </xf>
    <xf numFmtId="202" fontId="0" fillId="25" borderId="51" xfId="0" applyNumberFormat="1" applyFill="1" applyBorder="1" applyAlignment="1">
      <alignment horizontal="center" vertical="center"/>
    </xf>
    <xf numFmtId="202" fontId="0" fillId="25" borderId="18" xfId="0" applyNumberFormat="1" applyFill="1" applyBorder="1" applyAlignment="1">
      <alignment horizontal="center" vertical="center"/>
    </xf>
    <xf numFmtId="0" fontId="3" fillId="25" borderId="0" xfId="0" applyFont="1" applyFill="1" applyAlignment="1">
      <alignment horizontal="center"/>
    </xf>
    <xf numFmtId="0" fontId="4" fillId="0" borderId="0" xfId="0" applyFont="1" applyBorder="1" applyProtection="1"/>
    <xf numFmtId="0" fontId="0" fillId="2" borderId="0" xfId="0" applyFill="1"/>
    <xf numFmtId="197" fontId="0" fillId="0" borderId="8" xfId="0" applyNumberFormat="1" applyBorder="1" applyAlignment="1">
      <alignment horizontal="center" vertical="center"/>
    </xf>
    <xf numFmtId="198" fontId="0" fillId="0" borderId="13" xfId="0" applyNumberFormat="1" applyBorder="1" applyAlignment="1">
      <alignment vertical="center"/>
    </xf>
    <xf numFmtId="198" fontId="0" fillId="0" borderId="16" xfId="0" applyNumberFormat="1" applyBorder="1" applyAlignment="1">
      <alignment vertical="center"/>
    </xf>
    <xf numFmtId="198" fontId="0" fillId="0" borderId="44" xfId="0" applyNumberFormat="1" applyBorder="1" applyAlignment="1">
      <alignment vertical="center"/>
    </xf>
    <xf numFmtId="197" fontId="0" fillId="0" borderId="2" xfId="0" applyNumberFormat="1" applyBorder="1" applyAlignment="1">
      <alignment vertical="center"/>
    </xf>
    <xf numFmtId="197" fontId="0" fillId="0" borderId="13" xfId="0" applyNumberFormat="1" applyBorder="1" applyAlignment="1">
      <alignment horizontal="center" vertical="center"/>
    </xf>
    <xf numFmtId="197" fontId="0" fillId="0" borderId="50" xfId="0" applyNumberFormat="1" applyBorder="1" applyAlignment="1">
      <alignment horizontal="center" vertical="center"/>
    </xf>
    <xf numFmtId="197" fontId="0" fillId="0" borderId="16" xfId="0" applyNumberFormat="1" applyBorder="1" applyAlignment="1">
      <alignment horizontal="center" vertical="center"/>
    </xf>
    <xf numFmtId="197" fontId="0" fillId="0" borderId="42" xfId="0" applyNumberFormat="1" applyBorder="1" applyAlignment="1">
      <alignment horizontal="center" vertical="center"/>
    </xf>
    <xf numFmtId="197" fontId="0" fillId="0" borderId="44" xfId="0" applyNumberFormat="1" applyBorder="1" applyAlignment="1">
      <alignment horizontal="center" vertical="center"/>
    </xf>
    <xf numFmtId="197" fontId="0" fillId="0" borderId="14" xfId="0" applyNumberFormat="1" applyBorder="1" applyAlignment="1">
      <alignment horizontal="center" vertical="center"/>
    </xf>
    <xf numFmtId="0" fontId="0" fillId="9" borderId="7" xfId="0" applyFont="1" applyFill="1" applyBorder="1" applyAlignment="1">
      <alignment horizontal="center" wrapText="1"/>
    </xf>
    <xf numFmtId="0" fontId="26" fillId="0" borderId="0" xfId="0" applyFont="1" applyBorder="1" applyAlignment="1" applyProtection="1">
      <alignment horizontal="left" wrapText="1"/>
    </xf>
    <xf numFmtId="0" fontId="26" fillId="0" borderId="0" xfId="0" applyFont="1" applyAlignment="1">
      <alignment horizontal="left" wrapText="1"/>
    </xf>
    <xf numFmtId="0" fontId="0" fillId="0" borderId="0" xfId="0" applyAlignment="1">
      <alignment horizontal="center" vertical="top" wrapText="1"/>
    </xf>
    <xf numFmtId="0" fontId="4" fillId="0" borderId="28" xfId="0" applyFont="1" applyFill="1" applyBorder="1" applyAlignment="1" applyProtection="1">
      <alignment horizontal="center" vertical="center"/>
    </xf>
    <xf numFmtId="0" fontId="4" fillId="0" borderId="28" xfId="0" applyFont="1" applyFill="1" applyBorder="1" applyAlignment="1">
      <alignment horizontal="center" vertical="center" wrapText="1"/>
    </xf>
    <xf numFmtId="0" fontId="4" fillId="0" borderId="28" xfId="0" applyFont="1" applyFill="1" applyBorder="1" applyAlignment="1">
      <alignment horizontal="center" vertical="center"/>
    </xf>
    <xf numFmtId="0" fontId="4" fillId="2" borderId="2" xfId="0" applyFont="1" applyFill="1" applyBorder="1" applyAlignment="1">
      <alignment horizontal="center"/>
    </xf>
    <xf numFmtId="0" fontId="4" fillId="2" borderId="1" xfId="0" applyFont="1" applyFill="1" applyBorder="1" applyAlignment="1">
      <alignment horizontal="center"/>
    </xf>
    <xf numFmtId="0" fontId="4" fillId="0" borderId="0" xfId="0" applyFont="1" applyFill="1" applyBorder="1" applyAlignment="1">
      <alignment horizontal="center"/>
    </xf>
    <xf numFmtId="0" fontId="12" fillId="6" borderId="18" xfId="0" applyFont="1" applyFill="1" applyBorder="1" applyAlignment="1" applyProtection="1">
      <alignment horizontal="center" vertical="center" wrapText="1"/>
    </xf>
    <xf numFmtId="0" fontId="12" fillId="6" borderId="0" xfId="0" applyFont="1" applyFill="1" applyBorder="1" applyAlignment="1" applyProtection="1">
      <alignment horizontal="center" vertical="center"/>
    </xf>
    <xf numFmtId="0" fontId="12" fillId="6" borderId="26" xfId="0" applyFont="1" applyFill="1" applyBorder="1" applyAlignment="1" applyProtection="1">
      <alignment horizontal="center" vertical="center"/>
    </xf>
    <xf numFmtId="0" fontId="12" fillId="6" borderId="36" xfId="0" applyFont="1" applyFill="1" applyBorder="1" applyAlignment="1" applyProtection="1">
      <alignment horizontal="center" vertical="center"/>
    </xf>
    <xf numFmtId="0" fontId="8" fillId="13" borderId="0" xfId="6" applyFont="1" applyFill="1" applyBorder="1" applyAlignment="1" applyProtection="1">
      <alignment horizontal="left" vertical="center" wrapText="1"/>
    </xf>
    <xf numFmtId="0" fontId="8" fillId="13" borderId="0" xfId="6" applyFont="1" applyFill="1" applyBorder="1" applyAlignment="1" applyProtection="1">
      <alignment horizontal="center" vertical="center" wrapText="1"/>
    </xf>
    <xf numFmtId="0" fontId="138" fillId="13" borderId="0" xfId="6" applyFont="1" applyFill="1" applyBorder="1" applyAlignment="1" applyProtection="1">
      <alignment horizontal="left" vertical="center" wrapText="1"/>
    </xf>
    <xf numFmtId="0" fontId="12" fillId="6" borderId="18" xfId="0" applyFont="1" applyFill="1" applyBorder="1" applyAlignment="1" applyProtection="1">
      <alignment horizontal="center" vertical="center"/>
    </xf>
    <xf numFmtId="9" fontId="12" fillId="6" borderId="17" xfId="4" applyFont="1" applyFill="1" applyBorder="1" applyAlignment="1" applyProtection="1">
      <alignment horizontal="right" vertical="center"/>
    </xf>
    <xf numFmtId="38" fontId="12" fillId="6" borderId="17" xfId="0" applyNumberFormat="1" applyFont="1" applyFill="1" applyBorder="1" applyAlignment="1" applyProtection="1">
      <alignment horizontal="right" vertical="center"/>
    </xf>
    <xf numFmtId="0" fontId="12" fillId="6" borderId="28" xfId="0" applyFont="1" applyFill="1" applyBorder="1" applyAlignment="1" applyProtection="1">
      <alignment horizontal="center" vertical="center"/>
    </xf>
    <xf numFmtId="0" fontId="12" fillId="6" borderId="8" xfId="0" applyFont="1" applyFill="1" applyBorder="1" applyAlignment="1" applyProtection="1">
      <alignment horizontal="center" vertical="center"/>
    </xf>
    <xf numFmtId="2" fontId="4" fillId="0" borderId="1" xfId="0" applyNumberFormat="1" applyFont="1" applyFill="1" applyBorder="1" applyAlignment="1" applyProtection="1">
      <alignment horizontal="center" vertical="center"/>
    </xf>
    <xf numFmtId="38" fontId="12" fillId="2" borderId="20" xfId="0" applyNumberFormat="1" applyFont="1" applyFill="1" applyBorder="1" applyAlignment="1" applyProtection="1">
      <alignment horizontal="center" vertical="center"/>
      <protection locked="0"/>
    </xf>
    <xf numFmtId="38" fontId="12" fillId="2" borderId="21" xfId="0" applyNumberFormat="1" applyFont="1" applyFill="1" applyBorder="1" applyAlignment="1" applyProtection="1">
      <alignment horizontal="center" vertical="center"/>
      <protection locked="0"/>
    </xf>
    <xf numFmtId="38" fontId="12" fillId="2" borderId="116" xfId="0" applyNumberFormat="1" applyFont="1" applyFill="1" applyBorder="1" applyAlignment="1" applyProtection="1">
      <alignment horizontal="center" vertical="center"/>
      <protection locked="0"/>
    </xf>
    <xf numFmtId="38" fontId="4" fillId="0" borderId="12" xfId="0" applyNumberFormat="1" applyFont="1" applyFill="1" applyBorder="1" applyAlignment="1" applyProtection="1">
      <alignment horizontal="right" vertical="center" indent="1"/>
    </xf>
    <xf numFmtId="49" fontId="0" fillId="0" borderId="69" xfId="0" applyNumberFormat="1" applyFill="1" applyBorder="1" applyAlignment="1">
      <alignment vertical="center"/>
    </xf>
    <xf numFmtId="49" fontId="0" fillId="0" borderId="62" xfId="0" applyNumberFormat="1" applyFill="1" applyBorder="1" applyAlignment="1">
      <alignment vertical="center"/>
    </xf>
    <xf numFmtId="0" fontId="0" fillId="0" borderId="0" xfId="0" applyFill="1" applyAlignment="1">
      <alignment horizontal="center"/>
    </xf>
    <xf numFmtId="49" fontId="0" fillId="0" borderId="51" xfId="0" applyNumberFormat="1" applyFill="1" applyBorder="1" applyAlignment="1">
      <alignment vertical="center"/>
    </xf>
    <xf numFmtId="49" fontId="0" fillId="0" borderId="0" xfId="0" applyNumberFormat="1" applyFill="1" applyBorder="1" applyAlignment="1">
      <alignment vertical="center"/>
    </xf>
    <xf numFmtId="0" fontId="10" fillId="0" borderId="6" xfId="0" applyFont="1" applyBorder="1" applyAlignment="1">
      <alignment horizontal="center"/>
    </xf>
    <xf numFmtId="0" fontId="10" fillId="0" borderId="7" xfId="0" applyFont="1" applyBorder="1" applyAlignment="1">
      <alignment horizontal="center"/>
    </xf>
    <xf numFmtId="49" fontId="2" fillId="0" borderId="0" xfId="0" applyNumberFormat="1" applyFont="1" applyFill="1" applyBorder="1" applyAlignment="1" applyProtection="1">
      <alignment horizontal="left" vertical="top"/>
    </xf>
    <xf numFmtId="0" fontId="0" fillId="0" borderId="18" xfId="0" applyFill="1" applyBorder="1" applyAlignment="1" applyProtection="1">
      <alignment vertical="top"/>
    </xf>
    <xf numFmtId="6" fontId="0" fillId="0" borderId="1" xfId="0" applyNumberFormat="1" applyFill="1" applyBorder="1" applyAlignment="1" applyProtection="1">
      <alignment horizontal="right" vertical="top"/>
    </xf>
    <xf numFmtId="0" fontId="4" fillId="8" borderId="0" xfId="0" applyFont="1" applyFill="1" applyProtection="1"/>
    <xf numFmtId="0" fontId="0" fillId="8" borderId="0" xfId="0" applyFill="1" applyProtection="1"/>
    <xf numFmtId="49" fontId="0" fillId="8" borderId="0" xfId="0" applyNumberFormat="1" applyFill="1" applyProtection="1"/>
    <xf numFmtId="6" fontId="0" fillId="8" borderId="28" xfId="0" applyNumberFormat="1" applyFill="1" applyBorder="1" applyAlignment="1">
      <alignment vertical="center"/>
    </xf>
    <xf numFmtId="0" fontId="0" fillId="0" borderId="0" xfId="0" applyBorder="1" applyAlignment="1" applyProtection="1">
      <alignment horizontal="left" vertical="center"/>
    </xf>
    <xf numFmtId="0" fontId="0" fillId="0" borderId="0" xfId="0" applyBorder="1" applyAlignment="1" applyProtection="1">
      <alignment horizontal="left" vertical="top"/>
    </xf>
    <xf numFmtId="38" fontId="4" fillId="0" borderId="0" xfId="0" applyNumberFormat="1" applyFont="1" applyBorder="1" applyAlignment="1" applyProtection="1">
      <alignment horizontal="center" vertical="center"/>
    </xf>
    <xf numFmtId="38" fontId="4" fillId="0" borderId="0" xfId="0" applyNumberFormat="1" applyFont="1" applyFill="1" applyBorder="1" applyAlignment="1" applyProtection="1">
      <alignment horizontal="center" vertical="center"/>
    </xf>
    <xf numFmtId="0" fontId="11" fillId="0" borderId="0" xfId="0" applyFont="1" applyFill="1" applyBorder="1" applyAlignment="1" applyProtection="1">
      <alignment horizontal="left" vertical="center" wrapText="1"/>
    </xf>
    <xf numFmtId="0" fontId="0" fillId="0" borderId="0" xfId="0" applyBorder="1" applyAlignment="1" applyProtection="1">
      <alignment vertical="center"/>
    </xf>
    <xf numFmtId="0" fontId="0" fillId="8" borderId="0" xfId="0" applyFill="1" applyBorder="1" applyAlignment="1" applyProtection="1">
      <alignment horizontal="left" vertical="center"/>
    </xf>
    <xf numFmtId="0" fontId="4" fillId="8" borderId="28" xfId="0" applyFont="1" applyFill="1" applyBorder="1" applyAlignment="1">
      <alignment horizontal="center" vertical="center"/>
    </xf>
    <xf numFmtId="206" fontId="21" fillId="0" borderId="0" xfId="0" applyNumberFormat="1" applyFont="1" applyFill="1" applyBorder="1" applyAlignment="1" applyProtection="1">
      <alignment vertical="center" wrapText="1"/>
    </xf>
    <xf numFmtId="180" fontId="0" fillId="0" borderId="7" xfId="0" quotePrefix="1" applyNumberFormat="1" applyFill="1" applyBorder="1" applyAlignment="1">
      <alignment horizontal="center" vertical="center"/>
    </xf>
    <xf numFmtId="0" fontId="108" fillId="0" borderId="0" xfId="0" applyFont="1" applyFill="1"/>
    <xf numFmtId="0" fontId="2" fillId="0" borderId="0" xfId="0" applyFont="1" applyFill="1" applyBorder="1" applyAlignment="1" applyProtection="1">
      <alignment vertical="center"/>
    </xf>
    <xf numFmtId="0" fontId="12" fillId="2" borderId="0" xfId="0" applyFont="1" applyFill="1" applyBorder="1" applyAlignment="1" applyProtection="1">
      <alignment vertical="center"/>
    </xf>
    <xf numFmtId="0" fontId="4" fillId="8" borderId="0" xfId="0" applyFont="1" applyFill="1" applyBorder="1" applyAlignment="1" applyProtection="1">
      <alignment horizontal="left" vertical="center"/>
    </xf>
    <xf numFmtId="49" fontId="0" fillId="0" borderId="0" xfId="0" applyNumberFormat="1" applyBorder="1" applyAlignment="1" applyProtection="1">
      <alignment horizontal="center" vertical="top"/>
    </xf>
    <xf numFmtId="0" fontId="4" fillId="8" borderId="0" xfId="0" applyFont="1" applyFill="1" applyBorder="1" applyAlignment="1" applyProtection="1">
      <alignment vertical="center"/>
    </xf>
    <xf numFmtId="0" fontId="4" fillId="8" borderId="0" xfId="0" applyFont="1" applyFill="1" applyAlignment="1">
      <alignment vertical="top" wrapText="1"/>
    </xf>
    <xf numFmtId="0" fontId="4" fillId="8" borderId="0" xfId="0" applyFont="1" applyFill="1" applyAlignment="1" applyProtection="1">
      <alignment horizontal="left" vertical="top"/>
    </xf>
    <xf numFmtId="0" fontId="124" fillId="8" borderId="0" xfId="0" applyFont="1" applyFill="1" applyBorder="1" applyAlignment="1" applyProtection="1">
      <alignment horizontal="right" wrapText="1"/>
    </xf>
    <xf numFmtId="0" fontId="0" fillId="0" borderId="0" xfId="0" applyAlignment="1">
      <alignment horizontal="left" vertical="center"/>
    </xf>
    <xf numFmtId="0" fontId="12" fillId="6" borderId="26" xfId="0" applyFont="1" applyFill="1" applyBorder="1" applyAlignment="1" applyProtection="1">
      <alignment horizontal="center" vertical="center"/>
    </xf>
    <xf numFmtId="0" fontId="12" fillId="6" borderId="36" xfId="0" applyFont="1" applyFill="1" applyBorder="1" applyAlignment="1" applyProtection="1">
      <alignment horizontal="center" vertical="center"/>
    </xf>
    <xf numFmtId="0" fontId="0" fillId="0" borderId="0" xfId="0" applyBorder="1" applyAlignment="1" applyProtection="1">
      <alignment horizontal="left" vertical="center"/>
    </xf>
    <xf numFmtId="38" fontId="12" fillId="6" borderId="55" xfId="0" applyNumberFormat="1" applyFont="1" applyFill="1" applyBorder="1" applyAlignment="1" applyProtection="1">
      <alignment horizontal="center" vertical="center"/>
    </xf>
    <xf numFmtId="38" fontId="4" fillId="0" borderId="0" xfId="0" applyNumberFormat="1" applyFont="1" applyBorder="1" applyAlignment="1" applyProtection="1">
      <alignment horizontal="center" vertical="center"/>
    </xf>
    <xf numFmtId="38" fontId="4" fillId="0" borderId="0" xfId="0" applyNumberFormat="1" applyFont="1" applyFill="1" applyBorder="1" applyAlignment="1" applyProtection="1">
      <alignment horizontal="center" vertical="center"/>
    </xf>
    <xf numFmtId="0" fontId="0" fillId="0" borderId="0" xfId="0" applyBorder="1" applyAlignment="1" applyProtection="1">
      <alignment vertical="center"/>
    </xf>
    <xf numFmtId="0" fontId="0" fillId="0" borderId="0" xfId="0" applyBorder="1" applyAlignment="1" applyProtection="1">
      <alignment vertical="top"/>
    </xf>
    <xf numFmtId="0" fontId="0" fillId="0" borderId="0" xfId="0" applyAlignment="1">
      <alignment vertical="top"/>
    </xf>
    <xf numFmtId="0" fontId="0" fillId="8" borderId="91" xfId="0" applyFill="1" applyBorder="1" applyAlignment="1">
      <alignment horizontal="left" vertical="center"/>
    </xf>
    <xf numFmtId="0" fontId="0" fillId="8" borderId="92" xfId="0" applyFont="1" applyFill="1" applyBorder="1" applyAlignment="1" applyProtection="1">
      <alignment horizontal="left" vertical="center"/>
    </xf>
    <xf numFmtId="0" fontId="0" fillId="26" borderId="92" xfId="0" applyFont="1" applyFill="1" applyBorder="1" applyAlignment="1" applyProtection="1">
      <alignment horizontal="center" vertical="center" wrapText="1"/>
    </xf>
    <xf numFmtId="185" fontId="0" fillId="8" borderId="93" xfId="4" applyNumberFormat="1" applyFont="1" applyFill="1" applyBorder="1" applyAlignment="1" applyProtection="1">
      <alignment horizontal="center" vertical="center" wrapText="1"/>
    </xf>
    <xf numFmtId="0" fontId="0" fillId="8" borderId="3" xfId="0" applyFill="1" applyBorder="1" applyAlignment="1">
      <alignment horizontal="left" vertical="center"/>
    </xf>
    <xf numFmtId="0" fontId="0" fillId="8" borderId="4" xfId="0" applyFont="1" applyFill="1" applyBorder="1" applyAlignment="1" applyProtection="1">
      <alignment horizontal="left" vertical="center"/>
    </xf>
    <xf numFmtId="0" fontId="0" fillId="26" borderId="4" xfId="0" applyFont="1" applyFill="1" applyBorder="1" applyAlignment="1" applyProtection="1">
      <alignment horizontal="center" vertical="center" wrapText="1"/>
    </xf>
    <xf numFmtId="185" fontId="0" fillId="8" borderId="10" xfId="4" applyNumberFormat="1" applyFont="1" applyFill="1" applyBorder="1" applyAlignment="1" applyProtection="1">
      <alignment horizontal="center" vertical="center" wrapText="1"/>
    </xf>
    <xf numFmtId="0" fontId="0" fillId="8" borderId="4" xfId="0" applyFill="1" applyBorder="1" applyAlignment="1">
      <alignment horizontal="left" vertical="center"/>
    </xf>
    <xf numFmtId="0" fontId="0" fillId="26" borderId="4" xfId="0" applyFill="1" applyBorder="1" applyAlignment="1">
      <alignment horizontal="center" vertical="center" wrapText="1"/>
    </xf>
    <xf numFmtId="6" fontId="0" fillId="8" borderId="10" xfId="0" applyNumberFormat="1" applyFill="1" applyBorder="1" applyAlignment="1">
      <alignment horizontal="center" vertical="center"/>
    </xf>
    <xf numFmtId="0" fontId="0" fillId="0" borderId="0" xfId="0" applyAlignment="1">
      <alignment horizontal="left" vertical="center"/>
    </xf>
    <xf numFmtId="0" fontId="12" fillId="6" borderId="36" xfId="0" applyFont="1" applyFill="1" applyBorder="1" applyAlignment="1" applyProtection="1">
      <alignment horizontal="center" vertical="center"/>
    </xf>
    <xf numFmtId="38" fontId="4" fillId="0" borderId="0" xfId="0" applyNumberFormat="1" applyFont="1" applyBorder="1" applyAlignment="1" applyProtection="1">
      <alignment horizontal="center" vertical="center"/>
    </xf>
    <xf numFmtId="0" fontId="0" fillId="0" borderId="0" xfId="0" applyBorder="1" applyAlignment="1" applyProtection="1">
      <alignment horizontal="left" vertical="center"/>
    </xf>
    <xf numFmtId="0" fontId="0" fillId="0" borderId="0" xfId="0" applyBorder="1" applyAlignment="1" applyProtection="1">
      <alignment horizontal="left" vertical="top" wrapText="1"/>
    </xf>
    <xf numFmtId="0" fontId="26" fillId="0" borderId="0" xfId="0" applyFont="1" applyBorder="1" applyAlignment="1" applyProtection="1">
      <alignment horizontal="right" vertical="center"/>
    </xf>
    <xf numFmtId="0" fontId="0" fillId="0" borderId="17" xfId="0" applyBorder="1" applyAlignment="1" applyProtection="1">
      <alignment vertical="top"/>
    </xf>
    <xf numFmtId="0" fontId="0" fillId="0" borderId="0" xfId="0" applyBorder="1" applyAlignment="1" applyProtection="1">
      <alignment vertical="center"/>
    </xf>
    <xf numFmtId="0" fontId="0" fillId="0" borderId="0" xfId="0" applyBorder="1" applyAlignment="1" applyProtection="1">
      <alignment vertical="top"/>
    </xf>
    <xf numFmtId="0" fontId="0" fillId="0" borderId="0" xfId="0" applyBorder="1" applyAlignment="1" applyProtection="1">
      <alignment vertical="top" wrapText="1"/>
    </xf>
    <xf numFmtId="0" fontId="96" fillId="0" borderId="0" xfId="0" applyFont="1" applyAlignment="1">
      <alignment horizontal="left" vertical="center"/>
    </xf>
    <xf numFmtId="167" fontId="2" fillId="0" borderId="0" xfId="0" applyNumberFormat="1" applyFont="1" applyBorder="1" applyAlignment="1" applyProtection="1">
      <alignment horizontal="left" vertical="top" wrapText="1"/>
    </xf>
    <xf numFmtId="0" fontId="4" fillId="27" borderId="26" xfId="0" applyFont="1" applyFill="1" applyBorder="1" applyAlignment="1" applyProtection="1">
      <alignment horizontal="center" vertical="center"/>
    </xf>
    <xf numFmtId="0" fontId="4" fillId="27" borderId="36" xfId="0" applyFont="1" applyFill="1" applyBorder="1" applyAlignment="1" applyProtection="1">
      <alignment horizontal="center" vertical="center"/>
    </xf>
    <xf numFmtId="38" fontId="4" fillId="27" borderId="54" xfId="0" applyNumberFormat="1" applyFont="1" applyFill="1" applyBorder="1" applyAlignment="1" applyProtection="1">
      <alignment horizontal="center" vertical="center"/>
    </xf>
    <xf numFmtId="0" fontId="4" fillId="8" borderId="0" xfId="0" applyFont="1" applyFill="1" applyAlignment="1">
      <alignment vertical="center"/>
    </xf>
    <xf numFmtId="0" fontId="4" fillId="8" borderId="0" xfId="0" applyFont="1" applyFill="1" applyBorder="1" applyAlignment="1" applyProtection="1">
      <alignment horizontal="left"/>
    </xf>
    <xf numFmtId="0" fontId="140" fillId="0" borderId="0" xfId="2" applyFont="1" applyAlignment="1">
      <alignment horizontal="center"/>
    </xf>
    <xf numFmtId="40" fontId="7" fillId="0" borderId="0" xfId="2" applyNumberFormat="1" applyBorder="1"/>
    <xf numFmtId="40" fontId="41" fillId="0" borderId="26" xfId="2" applyNumberFormat="1" applyFont="1" applyFill="1" applyBorder="1"/>
    <xf numFmtId="0" fontId="82" fillId="0" borderId="0" xfId="2" applyFont="1" applyBorder="1" applyAlignment="1">
      <alignment vertical="center" wrapText="1"/>
    </xf>
    <xf numFmtId="0" fontId="0" fillId="10" borderId="0" xfId="0" applyFill="1" applyAlignment="1">
      <alignment horizontal="center"/>
    </xf>
    <xf numFmtId="44" fontId="0" fillId="10" borderId="0" xfId="0" applyNumberFormat="1" applyFill="1" applyAlignment="1">
      <alignment horizontal="center"/>
    </xf>
    <xf numFmtId="0" fontId="0" fillId="0" borderId="24" xfId="0" applyBorder="1"/>
    <xf numFmtId="0" fontId="0" fillId="0" borderId="54" xfId="0" applyFill="1" applyBorder="1"/>
    <xf numFmtId="0" fontId="2" fillId="8" borderId="0" xfId="0" applyNumberFormat="1" applyFont="1" applyFill="1" applyBorder="1" applyAlignment="1" applyProtection="1">
      <alignment vertical="top"/>
    </xf>
    <xf numFmtId="0" fontId="0" fillId="8" borderId="0" xfId="0" applyFill="1" applyBorder="1" applyAlignment="1" applyProtection="1">
      <alignment vertical="top"/>
    </xf>
    <xf numFmtId="49" fontId="0" fillId="8" borderId="0" xfId="0" applyNumberFormat="1" applyFill="1" applyBorder="1" applyProtection="1"/>
    <xf numFmtId="166" fontId="2" fillId="8" borderId="0" xfId="0" applyNumberFormat="1" applyFont="1" applyFill="1" applyBorder="1" applyAlignment="1" applyProtection="1">
      <alignment vertical="top"/>
    </xf>
    <xf numFmtId="0" fontId="0" fillId="8" borderId="0" xfId="0" applyFill="1" applyBorder="1" applyAlignment="1" applyProtection="1">
      <alignment horizontal="left" vertical="top" wrapText="1"/>
    </xf>
    <xf numFmtId="0" fontId="0" fillId="8" borderId="0" xfId="0" applyFill="1" applyBorder="1" applyAlignment="1" applyProtection="1">
      <alignment horizontal="left"/>
    </xf>
    <xf numFmtId="0" fontId="128" fillId="0" borderId="0" xfId="0" applyFont="1" applyBorder="1" applyAlignment="1" applyProtection="1">
      <alignment vertical="top" wrapText="1"/>
    </xf>
    <xf numFmtId="0" fontId="0" fillId="0" borderId="128" xfId="0" applyFill="1" applyBorder="1" applyAlignment="1" applyProtection="1">
      <alignment horizontal="left" vertical="top"/>
    </xf>
    <xf numFmtId="6" fontId="0" fillId="0" borderId="8" xfId="0" applyNumberFormat="1" applyBorder="1" applyAlignment="1" applyProtection="1">
      <alignment horizontal="right" vertical="top"/>
    </xf>
    <xf numFmtId="171" fontId="4" fillId="0" borderId="8" xfId="1" applyNumberFormat="1" applyFont="1" applyFill="1" applyBorder="1" applyAlignment="1" applyProtection="1">
      <alignment horizontal="left" vertical="center"/>
    </xf>
    <xf numFmtId="6" fontId="0" fillId="10" borderId="28" xfId="0" applyNumberFormat="1" applyFill="1" applyBorder="1" applyAlignment="1" applyProtection="1">
      <alignment horizontal="right" vertical="center"/>
    </xf>
    <xf numFmtId="0" fontId="0" fillId="8" borderId="0" xfId="0" applyFill="1" applyAlignment="1">
      <alignment horizontal="left" vertical="center"/>
    </xf>
    <xf numFmtId="167" fontId="0" fillId="0" borderId="0" xfId="0" quotePrefix="1" applyNumberFormat="1" applyFont="1" applyBorder="1" applyAlignment="1" applyProtection="1">
      <alignment horizontal="left" vertical="top"/>
    </xf>
    <xf numFmtId="167" fontId="2" fillId="0" borderId="0" xfId="0" applyNumberFormat="1" applyFont="1" applyBorder="1" applyAlignment="1" applyProtection="1">
      <alignment horizontal="center" vertical="top"/>
    </xf>
    <xf numFmtId="180" fontId="12" fillId="28" borderId="54" xfId="0" applyNumberFormat="1" applyFont="1" applyFill="1" applyBorder="1" applyAlignment="1">
      <alignment horizontal="center" vertical="center"/>
    </xf>
    <xf numFmtId="40" fontId="12" fillId="28" borderId="54" xfId="0" applyNumberFormat="1" applyFont="1" applyFill="1" applyBorder="1" applyAlignment="1">
      <alignment horizontal="center" vertical="center"/>
    </xf>
    <xf numFmtId="0" fontId="0" fillId="2" borderId="0" xfId="0" applyFill="1" applyBorder="1" applyAlignment="1" applyProtection="1">
      <alignment vertical="top"/>
    </xf>
    <xf numFmtId="0" fontId="22" fillId="0" borderId="0" xfId="0" applyFont="1" applyAlignment="1">
      <alignment vertical="center"/>
    </xf>
    <xf numFmtId="0" fontId="0" fillId="0" borderId="0" xfId="0" applyAlignment="1">
      <alignment horizontal="right" vertical="center"/>
    </xf>
    <xf numFmtId="4" fontId="0" fillId="0" borderId="0" xfId="0" applyNumberFormat="1" applyFill="1" applyBorder="1" applyProtection="1"/>
    <xf numFmtId="0" fontId="22" fillId="0" borderId="0" xfId="0" applyFont="1" applyAlignment="1">
      <alignment horizontal="right" vertical="center"/>
    </xf>
    <xf numFmtId="38" fontId="12" fillId="2" borderId="26" xfId="0" applyNumberFormat="1" applyFont="1" applyFill="1" applyBorder="1" applyAlignment="1" applyProtection="1">
      <alignment horizontal="left" vertical="center" wrapText="1"/>
      <protection locked="0"/>
    </xf>
    <xf numFmtId="172" fontId="12" fillId="2" borderId="26" xfId="0" applyNumberFormat="1" applyFont="1" applyFill="1" applyBorder="1" applyAlignment="1" applyProtection="1">
      <alignment vertical="center"/>
      <protection locked="0"/>
    </xf>
    <xf numFmtId="0" fontId="12" fillId="2" borderId="20" xfId="0" applyFont="1" applyFill="1" applyBorder="1" applyAlignment="1" applyProtection="1">
      <alignment horizontal="center" vertical="center"/>
    </xf>
    <xf numFmtId="0" fontId="12" fillId="2" borderId="21" xfId="0" applyFont="1" applyFill="1" applyBorder="1" applyAlignment="1" applyProtection="1">
      <alignment horizontal="center" vertical="center"/>
    </xf>
    <xf numFmtId="0" fontId="12" fillId="2" borderId="22" xfId="0" applyFont="1" applyFill="1" applyBorder="1" applyAlignment="1" applyProtection="1">
      <alignment horizontal="center" vertical="center"/>
    </xf>
    <xf numFmtId="0" fontId="15" fillId="0" borderId="0" xfId="0" quotePrefix="1" applyFont="1" applyAlignment="1" applyProtection="1">
      <alignment vertical="center"/>
    </xf>
    <xf numFmtId="4" fontId="0" fillId="0" borderId="0" xfId="0" applyNumberFormat="1" applyFont="1" applyBorder="1" applyProtection="1"/>
    <xf numFmtId="4" fontId="0" fillId="8" borderId="0" xfId="0" applyNumberFormat="1" applyFont="1" applyFill="1" applyBorder="1" applyProtection="1"/>
    <xf numFmtId="4" fontId="0" fillId="8" borderId="0" xfId="0" applyNumberFormat="1" applyFont="1" applyFill="1" applyProtection="1"/>
    <xf numFmtId="38" fontId="4" fillId="0" borderId="8" xfId="0" applyNumberFormat="1" applyFont="1" applyFill="1" applyBorder="1" applyAlignment="1" applyProtection="1">
      <alignment horizontal="center" vertical="center" wrapText="1"/>
    </xf>
    <xf numFmtId="38" fontId="4" fillId="0" borderId="0" xfId="0" applyNumberFormat="1" applyFont="1" applyFill="1" applyBorder="1" applyAlignment="1" applyProtection="1">
      <alignment vertical="center" wrapText="1"/>
    </xf>
    <xf numFmtId="0" fontId="0" fillId="8" borderId="0" xfId="0" applyFont="1" applyFill="1" applyBorder="1" applyProtection="1"/>
    <xf numFmtId="0" fontId="0" fillId="8" borderId="0" xfId="0" applyFont="1" applyFill="1" applyBorder="1" applyAlignment="1" applyProtection="1">
      <alignment horizontal="left" vertical="top" wrapText="1"/>
    </xf>
    <xf numFmtId="0" fontId="0" fillId="0" borderId="0" xfId="0" applyAlignment="1">
      <alignment horizontal="left" vertical="center"/>
    </xf>
    <xf numFmtId="0" fontId="0" fillId="0" borderId="0" xfId="0" applyFont="1" applyBorder="1" applyAlignment="1" applyProtection="1">
      <alignment horizontal="left" vertical="center"/>
    </xf>
    <xf numFmtId="0" fontId="0" fillId="0" borderId="0" xfId="0" applyAlignment="1" applyProtection="1">
      <alignment horizontal="center" vertical="center"/>
    </xf>
    <xf numFmtId="0" fontId="108" fillId="0" borderId="0" xfId="0" quotePrefix="1" applyFont="1" applyBorder="1" applyAlignment="1" applyProtection="1">
      <alignment horizontal="right" vertical="top"/>
    </xf>
    <xf numFmtId="0" fontId="0" fillId="0" borderId="0" xfId="0" applyAlignment="1" applyProtection="1">
      <alignment horizontal="left"/>
    </xf>
    <xf numFmtId="0" fontId="0" fillId="0" borderId="141" xfId="0" applyBorder="1" applyAlignment="1" applyProtection="1">
      <alignment horizontal="center" vertical="center"/>
    </xf>
    <xf numFmtId="40" fontId="37" fillId="0" borderId="28" xfId="2" applyNumberFormat="1" applyFont="1" applyBorder="1" applyProtection="1"/>
    <xf numFmtId="0" fontId="30" fillId="0" borderId="0" xfId="2" applyFont="1" applyProtection="1"/>
    <xf numFmtId="0" fontId="37" fillId="0" borderId="0" xfId="2" applyFont="1" applyProtection="1"/>
    <xf numFmtId="40" fontId="37" fillId="0" borderId="0" xfId="2" applyNumberFormat="1" applyFont="1" applyProtection="1"/>
    <xf numFmtId="0" fontId="7" fillId="0" borderId="0" xfId="2" applyProtection="1"/>
    <xf numFmtId="40" fontId="42" fillId="0" borderId="0" xfId="2" applyNumberFormat="1" applyFont="1" applyProtection="1"/>
    <xf numFmtId="0" fontId="37" fillId="0" borderId="0" xfId="2" applyFont="1" applyAlignment="1" applyProtection="1">
      <alignment horizontal="right"/>
    </xf>
    <xf numFmtId="0" fontId="40" fillId="0" borderId="0" xfId="2" applyFont="1" applyFill="1"/>
    <xf numFmtId="0" fontId="140" fillId="0" borderId="0" xfId="2" applyFont="1" applyFill="1" applyAlignment="1">
      <alignment horizontal="center"/>
    </xf>
    <xf numFmtId="0" fontId="140" fillId="0" borderId="0" xfId="2" applyFont="1" applyFill="1" applyAlignment="1">
      <alignment horizontal="centerContinuous"/>
    </xf>
    <xf numFmtId="49" fontId="140" fillId="0" borderId="0" xfId="2" applyNumberFormat="1" applyFont="1" applyFill="1" applyAlignment="1">
      <alignment horizontal="center"/>
    </xf>
    <xf numFmtId="0" fontId="140" fillId="0" borderId="0" xfId="2" applyFont="1" applyFill="1" applyAlignment="1">
      <alignment horizontal="center" vertical="center"/>
    </xf>
    <xf numFmtId="0" fontId="140" fillId="0" borderId="0" xfId="2" applyFont="1" applyFill="1" applyAlignment="1">
      <alignment horizontal="center" vertical="center" wrapText="1"/>
    </xf>
    <xf numFmtId="40" fontId="125" fillId="0" borderId="0" xfId="2" applyNumberFormat="1" applyFont="1" applyFill="1"/>
    <xf numFmtId="40" fontId="125" fillId="0" borderId="0" xfId="2" applyNumberFormat="1" applyFont="1" applyFill="1" applyProtection="1"/>
    <xf numFmtId="40" fontId="142" fillId="0" borderId="0" xfId="2" applyNumberFormat="1" applyFont="1" applyFill="1"/>
    <xf numFmtId="40" fontId="142" fillId="0" borderId="0" xfId="2" applyNumberFormat="1" applyFont="1" applyFill="1" applyAlignment="1">
      <alignment horizontal="right"/>
    </xf>
    <xf numFmtId="0" fontId="142" fillId="0" borderId="0" xfId="2" applyFont="1" applyFill="1"/>
    <xf numFmtId="0" fontId="40" fillId="0" borderId="27" xfId="2" applyFont="1" applyFill="1" applyBorder="1"/>
    <xf numFmtId="0" fontId="40" fillId="0" borderId="27" xfId="2" applyFont="1" applyFill="1" applyBorder="1" applyProtection="1"/>
    <xf numFmtId="0" fontId="40" fillId="0" borderId="0" xfId="2" applyFont="1" applyFill="1" applyProtection="1"/>
    <xf numFmtId="0" fontId="140" fillId="0" borderId="0" xfId="2" applyFont="1" applyFill="1" applyAlignment="1" applyProtection="1">
      <alignment horizontal="center"/>
    </xf>
    <xf numFmtId="0" fontId="140" fillId="0" borderId="0" xfId="2" applyFont="1" applyFill="1" applyAlignment="1" applyProtection="1">
      <alignment horizontal="center" vertical="center" wrapText="1"/>
    </xf>
    <xf numFmtId="0" fontId="140" fillId="0" borderId="0" xfId="2" applyFont="1" applyFill="1" applyAlignment="1">
      <alignment horizontal="center" wrapText="1"/>
    </xf>
    <xf numFmtId="0" fontId="140" fillId="0" borderId="0" xfId="2" applyFont="1" applyFill="1" applyAlignment="1">
      <alignment horizontal="centerContinuous" wrapText="1"/>
    </xf>
    <xf numFmtId="0" fontId="142" fillId="0" borderId="0" xfId="2" applyFont="1" applyFill="1" applyAlignment="1">
      <alignment horizontal="right"/>
    </xf>
    <xf numFmtId="40" fontId="143" fillId="0" borderId="0" xfId="2" applyNumberFormat="1" applyFont="1" applyFill="1"/>
    <xf numFmtId="40" fontId="144" fillId="0" borderId="0" xfId="2" applyNumberFormat="1" applyFont="1" applyFill="1"/>
    <xf numFmtId="40" fontId="40" fillId="0" borderId="0" xfId="2" applyNumberFormat="1" applyFont="1" applyFill="1" applyBorder="1" applyProtection="1"/>
    <xf numFmtId="40" fontId="40" fillId="0" borderId="0" xfId="2" applyNumberFormat="1" applyFont="1" applyFill="1" applyBorder="1"/>
    <xf numFmtId="40" fontId="125" fillId="0" borderId="0" xfId="2" applyNumberFormat="1" applyFont="1" applyFill="1" applyBorder="1" applyProtection="1"/>
    <xf numFmtId="40" fontId="142" fillId="0" borderId="0" xfId="2" applyNumberFormat="1" applyFont="1" applyFill="1" applyBorder="1"/>
    <xf numFmtId="40" fontId="142" fillId="0" borderId="0" xfId="2" applyNumberFormat="1" applyFont="1" applyFill="1" applyBorder="1" applyProtection="1"/>
    <xf numFmtId="40" fontId="142" fillId="0" borderId="0" xfId="2" applyNumberFormat="1" applyFont="1" applyFill="1" applyBorder="1" applyAlignment="1">
      <alignment horizontal="right"/>
    </xf>
    <xf numFmtId="0" fontId="40" fillId="0" borderId="0" xfId="2" applyFont="1" applyFill="1" applyBorder="1"/>
    <xf numFmtId="40" fontId="140" fillId="0" borderId="0" xfId="2" applyNumberFormat="1" applyFont="1" applyFill="1" applyBorder="1" applyAlignment="1">
      <alignment horizontal="center"/>
    </xf>
    <xf numFmtId="0" fontId="142" fillId="0" borderId="0" xfId="2" applyFont="1" applyFill="1" applyBorder="1" applyAlignment="1">
      <alignment horizontal="right"/>
    </xf>
    <xf numFmtId="40" fontId="125" fillId="0" borderId="0" xfId="2" applyNumberFormat="1" applyFont="1" applyFill="1" applyBorder="1"/>
    <xf numFmtId="40" fontId="143" fillId="0" borderId="0" xfId="2" applyNumberFormat="1" applyFont="1" applyFill="1" applyBorder="1"/>
    <xf numFmtId="40" fontId="144" fillId="0" borderId="0" xfId="2" applyNumberFormat="1" applyFont="1" applyFill="1" applyBorder="1" applyProtection="1"/>
    <xf numFmtId="0" fontId="0" fillId="0" borderId="0" xfId="0" applyBorder="1" applyAlignment="1" applyProtection="1">
      <alignment horizontal="left" vertical="top"/>
    </xf>
    <xf numFmtId="0" fontId="128" fillId="0" borderId="0" xfId="0" applyFont="1" applyBorder="1" applyAlignment="1" applyProtection="1">
      <alignment horizontal="right" wrapText="1"/>
    </xf>
    <xf numFmtId="0" fontId="124" fillId="0" borderId="16" xfId="0" applyFont="1" applyBorder="1" applyAlignment="1" applyProtection="1">
      <alignment horizontal="right" wrapText="1"/>
    </xf>
    <xf numFmtId="0" fontId="0" fillId="0" borderId="0" xfId="0" applyFont="1" applyBorder="1" applyAlignment="1" applyProtection="1">
      <alignment horizontal="left" vertical="center"/>
    </xf>
    <xf numFmtId="0" fontId="0" fillId="0" borderId="0" xfId="0" applyAlignment="1">
      <alignment vertical="top"/>
    </xf>
    <xf numFmtId="0" fontId="12" fillId="6" borderId="26" xfId="0" applyFont="1" applyFill="1" applyBorder="1" applyAlignment="1" applyProtection="1">
      <alignment horizontal="center" vertical="center"/>
    </xf>
    <xf numFmtId="0" fontId="12" fillId="6" borderId="36" xfId="0" applyFont="1" applyFill="1" applyBorder="1" applyAlignment="1" applyProtection="1">
      <alignment horizontal="center" vertical="center"/>
    </xf>
    <xf numFmtId="40" fontId="142" fillId="8" borderId="0" xfId="2" applyNumberFormat="1" applyFont="1" applyFill="1" applyBorder="1"/>
    <xf numFmtId="186" fontId="0" fillId="0" borderId="0" xfId="4" applyNumberFormat="1" applyFont="1" applyBorder="1" applyAlignment="1" applyProtection="1">
      <alignment horizontal="center" vertical="center" wrapText="1"/>
    </xf>
    <xf numFmtId="186" fontId="0" fillId="0" borderId="42" xfId="4" applyNumberFormat="1" applyFont="1" applyBorder="1" applyAlignment="1" applyProtection="1">
      <alignment horizontal="center" vertical="center" wrapText="1"/>
    </xf>
    <xf numFmtId="0" fontId="0" fillId="0" borderId="0" xfId="0" applyBorder="1" applyAlignment="1" applyProtection="1">
      <alignment horizontal="left" vertical="center"/>
    </xf>
    <xf numFmtId="0" fontId="0" fillId="16" borderId="0" xfId="0" applyFill="1"/>
    <xf numFmtId="0" fontId="13" fillId="0" borderId="0" xfId="0" applyFont="1" applyAlignment="1">
      <alignment horizontal="center" vertical="center"/>
    </xf>
    <xf numFmtId="0" fontId="12" fillId="8" borderId="28" xfId="0" applyFont="1" applyFill="1" applyBorder="1" applyAlignment="1" applyProtection="1">
      <alignment vertical="center"/>
    </xf>
    <xf numFmtId="0" fontId="12" fillId="8" borderId="7" xfId="0" applyFont="1" applyFill="1" applyBorder="1" applyAlignment="1" applyProtection="1">
      <alignment horizontal="center" vertical="center"/>
    </xf>
    <xf numFmtId="180" fontId="4" fillId="8" borderId="7" xfId="0" applyNumberFormat="1" applyFont="1" applyFill="1" applyBorder="1" applyAlignment="1" applyProtection="1">
      <alignment horizontal="center" vertical="center"/>
    </xf>
    <xf numFmtId="0" fontId="8" fillId="13" borderId="0" xfId="7" applyFont="1" applyFill="1" applyAlignment="1">
      <alignment horizontal="left" vertical="center" wrapText="1"/>
    </xf>
    <xf numFmtId="205" fontId="8" fillId="13" borderId="0" xfId="8" applyNumberFormat="1" applyFont="1" applyFill="1" applyAlignment="1">
      <alignment horizontal="left" vertical="center" wrapText="1"/>
    </xf>
    <xf numFmtId="0" fontId="8" fillId="13" borderId="0" xfId="8" applyFont="1" applyFill="1" applyAlignment="1">
      <alignment horizontal="left" vertical="center" wrapText="1"/>
    </xf>
    <xf numFmtId="0" fontId="8" fillId="13" borderId="0" xfId="7" applyFont="1" applyFill="1" applyAlignment="1">
      <alignment horizontal="center" vertical="center" wrapText="1"/>
    </xf>
    <xf numFmtId="0" fontId="8" fillId="13" borderId="0" xfId="7" applyFont="1" applyFill="1" applyAlignment="1">
      <alignment horizontal="left" vertical="center"/>
    </xf>
    <xf numFmtId="0" fontId="8" fillId="13" borderId="0" xfId="7" applyFont="1" applyFill="1" applyAlignment="1">
      <alignment horizontal="center" vertical="center"/>
    </xf>
    <xf numFmtId="205" fontId="137" fillId="13" borderId="0" xfId="8" applyNumberFormat="1" applyFont="1" applyFill="1" applyAlignment="1">
      <alignment horizontal="left" vertical="center" wrapText="1" readingOrder="1"/>
    </xf>
    <xf numFmtId="49" fontId="8" fillId="13" borderId="0" xfId="7" applyNumberFormat="1" applyFont="1" applyFill="1" applyAlignment="1">
      <alignment horizontal="left" vertical="center" wrapText="1"/>
    </xf>
    <xf numFmtId="0" fontId="137" fillId="13" borderId="0" xfId="8" applyFont="1" applyFill="1" applyAlignment="1">
      <alignment horizontal="left" vertical="center" wrapText="1" readingOrder="1"/>
    </xf>
    <xf numFmtId="205" fontId="8" fillId="13" borderId="0" xfId="7" applyNumberFormat="1" applyFont="1" applyFill="1" applyAlignment="1">
      <alignment horizontal="left" vertical="center" wrapText="1"/>
    </xf>
    <xf numFmtId="0" fontId="8" fillId="13" borderId="0" xfId="9" applyFont="1" applyFill="1" applyAlignment="1">
      <alignment horizontal="center" vertical="center" wrapText="1"/>
    </xf>
    <xf numFmtId="0" fontId="138" fillId="13" borderId="0" xfId="9" applyFont="1" applyFill="1" applyAlignment="1">
      <alignment horizontal="center" vertical="center" wrapText="1"/>
    </xf>
    <xf numFmtId="0" fontId="138" fillId="13" borderId="0" xfId="7" applyFont="1" applyFill="1" applyAlignment="1">
      <alignment horizontal="left" vertical="center"/>
    </xf>
    <xf numFmtId="0" fontId="138" fillId="13" borderId="0" xfId="7" applyFont="1" applyFill="1" applyAlignment="1">
      <alignment horizontal="left" vertical="center" wrapText="1"/>
    </xf>
    <xf numFmtId="0" fontId="138" fillId="13" borderId="0" xfId="7" applyFont="1" applyFill="1" applyAlignment="1">
      <alignment horizontal="center" vertical="center" wrapText="1"/>
    </xf>
    <xf numFmtId="0" fontId="138" fillId="13" borderId="0" xfId="7" applyFont="1" applyFill="1" applyAlignment="1">
      <alignment horizontal="center" vertical="center"/>
    </xf>
    <xf numFmtId="0" fontId="8" fillId="13" borderId="0" xfId="11" applyFont="1" applyFill="1" applyAlignment="1">
      <alignment horizontal="left" vertical="center" wrapText="1"/>
    </xf>
    <xf numFmtId="0" fontId="8" fillId="13" borderId="0" xfId="10" applyFont="1" applyFill="1" applyAlignment="1">
      <alignment horizontal="center" vertical="center" wrapText="1"/>
    </xf>
    <xf numFmtId="49" fontId="5" fillId="0" borderId="0" xfId="0" applyNumberFormat="1" applyFont="1"/>
    <xf numFmtId="0" fontId="0" fillId="8" borderId="0" xfId="0" applyFill="1"/>
    <xf numFmtId="0" fontId="0" fillId="8" borderId="0" xfId="0" applyFill="1" applyAlignment="1">
      <alignment vertical="top"/>
    </xf>
    <xf numFmtId="38" fontId="0" fillId="0" borderId="0" xfId="0" applyNumberFormat="1" applyProtection="1"/>
    <xf numFmtId="49" fontId="0" fillId="0" borderId="17" xfId="0" applyNumberFormat="1" applyBorder="1"/>
    <xf numFmtId="0" fontId="0" fillId="0" borderId="17" xfId="0" applyBorder="1" applyAlignment="1" applyProtection="1">
      <alignment horizontal="center" vertical="top"/>
      <protection locked="0"/>
    </xf>
    <xf numFmtId="49" fontId="0" fillId="0" borderId="18" xfId="0" applyNumberFormat="1" applyBorder="1"/>
    <xf numFmtId="0" fontId="0" fillId="0" borderId="18" xfId="0" applyBorder="1" applyAlignment="1" applyProtection="1">
      <alignment horizontal="center" vertical="top"/>
      <protection locked="0"/>
    </xf>
    <xf numFmtId="49" fontId="0" fillId="0" borderId="76" xfId="0" applyNumberFormat="1" applyBorder="1"/>
    <xf numFmtId="0" fontId="0" fillId="0" borderId="76" xfId="0" applyBorder="1" applyAlignment="1" applyProtection="1">
      <alignment horizontal="center" vertical="top"/>
      <protection locked="0"/>
    </xf>
    <xf numFmtId="0" fontId="4" fillId="0" borderId="0" xfId="0" applyFont="1" applyBorder="1" applyAlignment="1" applyProtection="1">
      <alignment horizontal="center" vertical="center"/>
      <protection locked="0"/>
    </xf>
    <xf numFmtId="207" fontId="0" fillId="0" borderId="95" xfId="0" applyNumberFormat="1" applyBorder="1" applyAlignment="1">
      <alignment vertical="center"/>
    </xf>
    <xf numFmtId="207" fontId="0" fillId="0" borderId="17" xfId="0" applyNumberFormat="1" applyBorder="1" applyAlignment="1">
      <alignment vertical="center"/>
    </xf>
    <xf numFmtId="208" fontId="0" fillId="0" borderId="75" xfId="0" applyNumberFormat="1" applyBorder="1" applyAlignment="1">
      <alignment vertical="center"/>
    </xf>
    <xf numFmtId="208" fontId="0" fillId="0" borderId="54" xfId="0" applyNumberFormat="1" applyBorder="1" applyAlignment="1">
      <alignment vertical="center"/>
    </xf>
    <xf numFmtId="207" fontId="0" fillId="0" borderId="55" xfId="0" applyNumberFormat="1" applyBorder="1" applyAlignment="1">
      <alignment vertical="center"/>
    </xf>
    <xf numFmtId="209" fontId="0" fillId="0" borderId="55" xfId="0" applyNumberFormat="1" applyBorder="1" applyAlignment="1">
      <alignment vertical="center"/>
    </xf>
    <xf numFmtId="209" fontId="0" fillId="0" borderId="95" xfId="0" applyNumberFormat="1" applyBorder="1" applyAlignment="1">
      <alignment vertical="center"/>
    </xf>
    <xf numFmtId="210" fontId="0" fillId="0" borderId="18" xfId="0" applyNumberFormat="1" applyBorder="1" applyAlignment="1">
      <alignment vertical="center"/>
    </xf>
    <xf numFmtId="211" fontId="0" fillId="0" borderId="18" xfId="0" applyNumberFormat="1" applyBorder="1" applyAlignment="1">
      <alignment vertical="center"/>
    </xf>
    <xf numFmtId="212" fontId="0" fillId="0" borderId="96" xfId="0" applyNumberFormat="1" applyBorder="1" applyAlignment="1">
      <alignment vertical="center"/>
    </xf>
    <xf numFmtId="0" fontId="108" fillId="10" borderId="0" xfId="0" applyFont="1" applyFill="1" applyBorder="1" applyAlignment="1" applyProtection="1">
      <alignment vertical="center"/>
    </xf>
    <xf numFmtId="0" fontId="108" fillId="0" borderId="0" xfId="0" applyFont="1" applyBorder="1" applyProtection="1"/>
    <xf numFmtId="0" fontId="2" fillId="8" borderId="0" xfId="0" applyFont="1" applyFill="1" applyAlignment="1">
      <alignment horizontal="right" vertical="center"/>
    </xf>
    <xf numFmtId="49" fontId="0" fillId="8" borderId="0" xfId="0" applyNumberFormat="1" applyFill="1" applyAlignment="1">
      <alignment vertical="center"/>
    </xf>
    <xf numFmtId="0" fontId="0" fillId="8" borderId="0" xfId="0" applyFill="1" applyAlignment="1">
      <alignment horizontal="right" vertical="top"/>
    </xf>
    <xf numFmtId="0" fontId="3" fillId="8" borderId="0" xfId="0" applyFont="1" applyFill="1" applyAlignment="1">
      <alignment horizontal="left" vertical="center"/>
    </xf>
    <xf numFmtId="0" fontId="2" fillId="8" borderId="0" xfId="0" applyFont="1" applyFill="1" applyAlignment="1">
      <alignment vertical="center"/>
    </xf>
    <xf numFmtId="0" fontId="0" fillId="8" borderId="0" xfId="0" applyFont="1" applyFill="1" applyAlignment="1">
      <alignment vertical="center"/>
    </xf>
    <xf numFmtId="49" fontId="0" fillId="8" borderId="0" xfId="0" applyNumberFormat="1" applyFill="1" applyBorder="1" applyAlignment="1">
      <alignment vertical="center"/>
    </xf>
    <xf numFmtId="0" fontId="0" fillId="8" borderId="0" xfId="0" applyFont="1" applyFill="1" applyAlignment="1">
      <alignment horizontal="left" vertical="center"/>
    </xf>
    <xf numFmtId="0" fontId="12" fillId="8" borderId="0" xfId="0" applyFont="1" applyFill="1" applyBorder="1" applyAlignment="1" applyProtection="1">
      <alignment vertical="center"/>
    </xf>
    <xf numFmtId="0" fontId="12" fillId="6" borderId="36" xfId="0" applyFont="1" applyFill="1" applyBorder="1" applyAlignment="1" applyProtection="1">
      <alignment horizontal="center" vertical="center"/>
    </xf>
    <xf numFmtId="0" fontId="0" fillId="0" borderId="0" xfId="0" applyBorder="1" applyAlignment="1" applyProtection="1">
      <alignment horizontal="left" vertical="center"/>
    </xf>
    <xf numFmtId="169" fontId="30" fillId="11" borderId="0" xfId="2" applyNumberFormat="1" applyFont="1" applyFill="1" applyAlignment="1">
      <alignment horizontal="right"/>
    </xf>
    <xf numFmtId="0" fontId="30" fillId="11" borderId="0" xfId="2" applyFont="1" applyFill="1"/>
    <xf numFmtId="0" fontId="30" fillId="11" borderId="0" xfId="2" applyFont="1" applyFill="1" applyAlignment="1">
      <alignment horizontal="right"/>
    </xf>
    <xf numFmtId="40" fontId="37" fillId="11" borderId="28" xfId="2" applyNumberFormat="1" applyFont="1" applyFill="1" applyBorder="1" applyProtection="1"/>
    <xf numFmtId="0" fontId="30" fillId="11" borderId="0" xfId="2" applyFont="1" applyFill="1" applyProtection="1"/>
    <xf numFmtId="0" fontId="37" fillId="11" borderId="0" xfId="2" applyFont="1" applyFill="1" applyProtection="1"/>
    <xf numFmtId="0" fontId="7" fillId="11" borderId="0" xfId="2" quotePrefix="1" applyFill="1"/>
    <xf numFmtId="8" fontId="7" fillId="11" borderId="0" xfId="2" quotePrefix="1" applyNumberFormat="1" applyFill="1" applyAlignment="1">
      <alignment horizontal="center"/>
    </xf>
    <xf numFmtId="40" fontId="37" fillId="11" borderId="0" xfId="2" applyNumberFormat="1" applyFont="1" applyFill="1"/>
    <xf numFmtId="0" fontId="37" fillId="11" borderId="0" xfId="2" applyFont="1" applyFill="1"/>
    <xf numFmtId="0" fontId="7" fillId="11" borderId="0" xfId="2" applyFill="1"/>
    <xf numFmtId="0" fontId="37" fillId="11" borderId="0" xfId="2" applyFont="1" applyFill="1" applyAlignment="1" applyProtection="1">
      <alignment horizontal="right"/>
    </xf>
    <xf numFmtId="0" fontId="35" fillId="11" borderId="0" xfId="2" applyFont="1" applyFill="1"/>
    <xf numFmtId="40" fontId="56" fillId="11" borderId="0" xfId="2" applyNumberFormat="1" applyFont="1" applyFill="1"/>
    <xf numFmtId="0" fontId="37" fillId="11" borderId="0" xfId="2" applyFont="1" applyFill="1" applyAlignment="1">
      <alignment horizontal="right"/>
    </xf>
    <xf numFmtId="0" fontId="56" fillId="11" borderId="0" xfId="2" applyFont="1" applyFill="1" applyAlignment="1">
      <alignment horizontal="center"/>
    </xf>
    <xf numFmtId="0" fontId="37" fillId="11" borderId="0" xfId="2" applyFont="1" applyFill="1" applyAlignment="1">
      <alignment horizontal="left"/>
    </xf>
    <xf numFmtId="0" fontId="12" fillId="2" borderId="26" xfId="0" applyFont="1" applyFill="1" applyBorder="1" applyAlignment="1" applyProtection="1">
      <alignment horizontal="left" vertical="center"/>
    </xf>
    <xf numFmtId="0" fontId="27" fillId="2" borderId="36" xfId="0" applyFont="1" applyFill="1" applyBorder="1" applyAlignment="1" applyProtection="1">
      <alignment vertical="center" wrapText="1"/>
      <protection locked="0"/>
    </xf>
    <xf numFmtId="0" fontId="27" fillId="2" borderId="36" xfId="0" applyFont="1" applyFill="1" applyBorder="1" applyAlignment="1" applyProtection="1">
      <alignment horizontal="left" vertical="center" wrapText="1"/>
      <protection locked="0"/>
    </xf>
    <xf numFmtId="193" fontId="27" fillId="2" borderId="36" xfId="0" applyNumberFormat="1" applyFont="1" applyFill="1" applyBorder="1" applyAlignment="1" applyProtection="1">
      <alignment horizontal="left" vertical="center" wrapText="1"/>
      <protection locked="0"/>
    </xf>
    <xf numFmtId="0" fontId="12" fillId="2" borderId="36" xfId="0" applyFont="1" applyFill="1" applyBorder="1" applyAlignment="1" applyProtection="1">
      <alignment horizontal="left" vertical="center" wrapText="1"/>
      <protection locked="0"/>
    </xf>
    <xf numFmtId="0" fontId="27" fillId="2" borderId="26" xfId="0" applyFont="1" applyFill="1" applyBorder="1" applyAlignment="1" applyProtection="1">
      <alignment horizontal="left" vertical="center" wrapText="1"/>
      <protection locked="0"/>
    </xf>
    <xf numFmtId="0" fontId="27" fillId="2" borderId="36" xfId="0" applyFont="1" applyFill="1" applyBorder="1" applyAlignment="1" applyProtection="1">
      <alignment vertical="center"/>
      <protection locked="0"/>
    </xf>
    <xf numFmtId="165" fontId="27" fillId="2" borderId="36" xfId="0" applyNumberFormat="1" applyFont="1" applyFill="1" applyBorder="1" applyAlignment="1" applyProtection="1">
      <alignment horizontal="left" vertical="center"/>
      <protection locked="0"/>
    </xf>
    <xf numFmtId="0" fontId="27" fillId="2" borderId="26" xfId="0" applyNumberFormat="1" applyFont="1" applyFill="1" applyBorder="1" applyAlignment="1" applyProtection="1">
      <alignment vertical="center"/>
      <protection locked="0"/>
    </xf>
    <xf numFmtId="0" fontId="0" fillId="2" borderId="26" xfId="0" applyFont="1" applyFill="1" applyBorder="1" applyAlignment="1" applyProtection="1">
      <alignment horizontal="left" vertical="center"/>
      <protection locked="0"/>
    </xf>
    <xf numFmtId="172" fontId="12" fillId="2" borderId="36" xfId="0" applyNumberFormat="1" applyFont="1" applyFill="1" applyBorder="1" applyAlignment="1" applyProtection="1">
      <alignment vertical="center"/>
      <protection locked="0"/>
    </xf>
    <xf numFmtId="0" fontId="12" fillId="2" borderId="26" xfId="0" applyFont="1" applyFill="1" applyBorder="1" applyAlignment="1" applyProtection="1">
      <alignment horizontal="center" vertical="center"/>
      <protection locked="0"/>
    </xf>
    <xf numFmtId="0" fontId="12" fillId="2" borderId="142" xfId="0" applyFont="1" applyFill="1" applyBorder="1" applyAlignment="1" applyProtection="1">
      <alignment horizontal="center" vertical="center" wrapText="1"/>
      <protection locked="0"/>
    </xf>
    <xf numFmtId="0" fontId="12" fillId="2" borderId="143"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xf>
    <xf numFmtId="0" fontId="12" fillId="2" borderId="144" xfId="0" applyFont="1" applyFill="1" applyBorder="1" applyAlignment="1" applyProtection="1">
      <alignment horizontal="center" vertical="center" wrapText="1"/>
      <protection locked="0"/>
    </xf>
    <xf numFmtId="0" fontId="147" fillId="0" borderId="0" xfId="0" applyFont="1" applyAlignment="1">
      <alignment horizontal="left" vertical="top"/>
    </xf>
    <xf numFmtId="0" fontId="12" fillId="2" borderId="26" xfId="0" applyFont="1" applyFill="1" applyBorder="1" applyAlignment="1" applyProtection="1">
      <alignment vertical="center"/>
      <protection locked="0"/>
    </xf>
    <xf numFmtId="1" fontId="12" fillId="2" borderId="151" xfId="0" applyNumberFormat="1" applyFont="1" applyFill="1" applyBorder="1" applyAlignment="1" applyProtection="1">
      <alignment horizontal="center" vertical="center"/>
      <protection locked="0"/>
    </xf>
    <xf numFmtId="1" fontId="12" fillId="2" borderId="152" xfId="0" applyNumberFormat="1" applyFont="1" applyFill="1" applyBorder="1" applyAlignment="1" applyProtection="1">
      <alignment horizontal="center" vertical="center"/>
      <protection locked="0"/>
    </xf>
    <xf numFmtId="1" fontId="12" fillId="2" borderId="153" xfId="0" applyNumberFormat="1" applyFont="1" applyFill="1" applyBorder="1" applyAlignment="1" applyProtection="1">
      <alignment horizontal="center" vertical="center"/>
      <protection locked="0"/>
    </xf>
    <xf numFmtId="44" fontId="12" fillId="2" borderId="26" xfId="1" applyFont="1" applyFill="1" applyBorder="1" applyAlignment="1" applyProtection="1">
      <alignment horizontal="left" vertical="center"/>
      <protection locked="0"/>
    </xf>
    <xf numFmtId="0" fontId="12" fillId="2" borderId="26" xfId="0" applyFont="1" applyFill="1" applyBorder="1" applyAlignment="1" applyProtection="1">
      <alignment horizontal="right" vertical="center"/>
      <protection locked="0"/>
    </xf>
    <xf numFmtId="44" fontId="25" fillId="2" borderId="26" xfId="1" applyFont="1" applyFill="1" applyBorder="1" applyAlignment="1" applyProtection="1">
      <alignment horizontal="left" vertical="center"/>
      <protection locked="0"/>
    </xf>
    <xf numFmtId="0" fontId="12" fillId="2" borderId="26" xfId="0" applyFont="1" applyFill="1" applyBorder="1" applyAlignment="1" applyProtection="1">
      <alignment horizontal="left" vertical="center"/>
      <protection locked="0"/>
    </xf>
    <xf numFmtId="8" fontId="12" fillId="2" borderId="36" xfId="1" applyNumberFormat="1" applyFont="1" applyFill="1" applyBorder="1" applyAlignment="1" applyProtection="1">
      <alignment horizontal="left" vertical="center"/>
      <protection locked="0"/>
    </xf>
    <xf numFmtId="0" fontId="12" fillId="2" borderId="142" xfId="0" applyFont="1" applyFill="1" applyBorder="1" applyAlignment="1" applyProtection="1">
      <alignment horizontal="left" vertical="center"/>
      <protection locked="0"/>
    </xf>
    <xf numFmtId="0" fontId="12" fillId="2" borderId="143" xfId="0" applyFont="1" applyFill="1" applyBorder="1" applyAlignment="1" applyProtection="1">
      <alignment horizontal="left" vertical="center"/>
      <protection locked="0"/>
    </xf>
    <xf numFmtId="8" fontId="12" fillId="2" borderId="142" xfId="0" applyNumberFormat="1" applyFont="1" applyFill="1" applyBorder="1" applyAlignment="1" applyProtection="1">
      <alignment horizontal="left" vertical="center"/>
      <protection locked="0"/>
    </xf>
    <xf numFmtId="8" fontId="12" fillId="2" borderId="143" xfId="0" applyNumberFormat="1" applyFont="1" applyFill="1" applyBorder="1" applyAlignment="1" applyProtection="1">
      <alignment horizontal="left" vertical="center"/>
      <protection locked="0"/>
    </xf>
    <xf numFmtId="0" fontId="124" fillId="8" borderId="0" xfId="0" applyFont="1" applyFill="1" applyAlignment="1">
      <alignment vertical="center"/>
    </xf>
    <xf numFmtId="38" fontId="4" fillId="8" borderId="0" xfId="0" applyNumberFormat="1" applyFont="1" applyFill="1" applyBorder="1" applyAlignment="1" applyProtection="1">
      <alignment horizontal="center" vertical="center"/>
    </xf>
    <xf numFmtId="0" fontId="12" fillId="8" borderId="26" xfId="0" applyFont="1" applyFill="1" applyBorder="1" applyAlignment="1" applyProtection="1">
      <alignment horizontal="center" vertical="center"/>
      <protection locked="0"/>
    </xf>
    <xf numFmtId="0" fontId="12" fillId="8" borderId="36" xfId="0" applyFont="1" applyFill="1" applyBorder="1" applyAlignment="1" applyProtection="1">
      <alignment horizontal="center" vertical="center"/>
      <protection locked="0"/>
    </xf>
    <xf numFmtId="0" fontId="0" fillId="0" borderId="0" xfId="0" applyBorder="1" applyAlignment="1" applyProtection="1">
      <alignment vertical="top"/>
    </xf>
    <xf numFmtId="38" fontId="4" fillId="8" borderId="0" xfId="0" applyNumberFormat="1" applyFont="1" applyFill="1" applyBorder="1" applyAlignment="1" applyProtection="1">
      <alignment horizontal="center" vertical="center"/>
    </xf>
    <xf numFmtId="0" fontId="0" fillId="0" borderId="0" xfId="0" applyBorder="1" applyAlignment="1" applyProtection="1">
      <alignment vertical="top" wrapText="1"/>
    </xf>
    <xf numFmtId="0" fontId="0" fillId="8" borderId="0" xfId="0" applyFill="1" applyAlignment="1">
      <alignment vertical="top" wrapText="1"/>
    </xf>
    <xf numFmtId="0" fontId="70" fillId="0" borderId="17" xfId="2" applyFont="1" applyFill="1" applyBorder="1"/>
    <xf numFmtId="0" fontId="70" fillId="0" borderId="17" xfId="2" applyFont="1" applyBorder="1"/>
    <xf numFmtId="8" fontId="70" fillId="0" borderId="0" xfId="2" applyNumberFormat="1" applyFont="1"/>
    <xf numFmtId="0" fontId="70" fillId="0" borderId="0" xfId="2" quotePrefix="1" applyFont="1"/>
    <xf numFmtId="8" fontId="70" fillId="0" borderId="17" xfId="2" applyNumberFormat="1" applyFont="1" applyFill="1" applyBorder="1"/>
    <xf numFmtId="0" fontId="70" fillId="0" borderId="17" xfId="2" quotePrefix="1" applyFont="1" applyBorder="1"/>
    <xf numFmtId="0" fontId="70" fillId="0" borderId="0" xfId="2" applyFont="1" applyBorder="1"/>
    <xf numFmtId="0" fontId="148" fillId="0" borderId="0" xfId="2" applyFont="1" applyFill="1" applyBorder="1"/>
    <xf numFmtId="0" fontId="70" fillId="0" borderId="0" xfId="2" applyFont="1" applyFill="1" applyBorder="1"/>
    <xf numFmtId="0" fontId="70" fillId="0" borderId="0" xfId="2" applyNumberFormat="1" applyFont="1"/>
    <xf numFmtId="0" fontId="70" fillId="0" borderId="51" xfId="2" applyNumberFormat="1" applyFont="1" applyBorder="1"/>
    <xf numFmtId="38" fontId="4" fillId="0" borderId="0" xfId="0" applyNumberFormat="1" applyFont="1" applyBorder="1" applyAlignment="1" applyProtection="1">
      <alignment horizontal="left"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0" fillId="0" borderId="0" xfId="0" applyFont="1" applyBorder="1" applyAlignment="1" applyProtection="1">
      <alignment horizontal="left" vertical="center" wrapText="1"/>
    </xf>
    <xf numFmtId="0" fontId="2" fillId="0" borderId="0" xfId="0" applyFont="1" applyBorder="1" applyAlignment="1" applyProtection="1">
      <alignment horizontal="center" vertical="center" wrapText="1"/>
    </xf>
    <xf numFmtId="0" fontId="0" fillId="0" borderId="0" xfId="0" applyBorder="1" applyAlignment="1" applyProtection="1">
      <alignment vertical="center"/>
    </xf>
    <xf numFmtId="0" fontId="4" fillId="0" borderId="17" xfId="0" applyFont="1" applyFill="1" applyBorder="1" applyProtection="1"/>
    <xf numFmtId="0" fontId="4" fillId="0" borderId="76" xfId="0" applyFont="1" applyFill="1" applyBorder="1" applyProtection="1"/>
    <xf numFmtId="0" fontId="4" fillId="0" borderId="17" xfId="0" applyFont="1" applyFill="1" applyBorder="1" applyProtection="1">
      <protection locked="0"/>
    </xf>
    <xf numFmtId="0" fontId="4" fillId="0" borderId="18" xfId="0" applyFont="1" applyFill="1" applyBorder="1" applyProtection="1">
      <protection locked="0"/>
    </xf>
    <xf numFmtId="0" fontId="4" fillId="0" borderId="76" xfId="0" applyFont="1" applyFill="1" applyBorder="1" applyProtection="1">
      <protection locked="0"/>
    </xf>
    <xf numFmtId="0" fontId="4" fillId="0" borderId="17" xfId="0" applyFont="1" applyBorder="1" applyAlignment="1" applyProtection="1">
      <alignment horizontal="center" vertical="center"/>
      <protection locked="0"/>
    </xf>
    <xf numFmtId="0" fontId="4" fillId="0" borderId="76" xfId="0" applyFont="1" applyBorder="1" applyAlignment="1" applyProtection="1">
      <alignment horizontal="center" vertical="center"/>
      <protection locked="0"/>
    </xf>
    <xf numFmtId="0" fontId="149" fillId="0" borderId="0" xfId="0" applyFont="1" applyBorder="1" applyAlignment="1" applyProtection="1">
      <alignment vertical="center"/>
    </xf>
    <xf numFmtId="0" fontId="9" fillId="0" borderId="0" xfId="0" applyFont="1" applyFill="1" applyAlignment="1" applyProtection="1">
      <alignment vertical="center" wrapText="1"/>
    </xf>
    <xf numFmtId="0" fontId="0" fillId="0" borderId="0" xfId="0" applyAlignment="1" applyProtection="1">
      <alignment horizontal="center" vertical="top"/>
    </xf>
    <xf numFmtId="40" fontId="41" fillId="0" borderId="0" xfId="2" applyNumberFormat="1" applyFont="1" applyFill="1" applyBorder="1" applyProtection="1">
      <protection locked="0"/>
    </xf>
    <xf numFmtId="38" fontId="53" fillId="0" borderId="0" xfId="2" applyNumberFormat="1" applyFont="1" applyBorder="1" applyAlignment="1" applyProtection="1">
      <alignment horizontal="center" vertical="center"/>
    </xf>
    <xf numFmtId="0" fontId="115" fillId="0" borderId="26" xfId="2" applyFont="1" applyBorder="1" applyAlignment="1" applyProtection="1">
      <alignment horizontal="center" vertical="center"/>
      <protection locked="0"/>
    </xf>
    <xf numFmtId="0" fontId="13" fillId="0" borderId="159" xfId="0" applyFont="1" applyBorder="1" applyAlignment="1">
      <alignment horizontal="center"/>
    </xf>
    <xf numFmtId="0" fontId="0" fillId="0" borderId="159" xfId="0" applyBorder="1" applyAlignment="1">
      <alignment horizontal="center" vertical="center"/>
    </xf>
    <xf numFmtId="0" fontId="0" fillId="16" borderId="159" xfId="0" applyFill="1" applyBorder="1" applyAlignment="1">
      <alignment horizontal="center" vertical="center"/>
    </xf>
    <xf numFmtId="0" fontId="13" fillId="0" borderId="16" xfId="0" applyFont="1" applyBorder="1" applyAlignment="1">
      <alignment horizontal="center"/>
    </xf>
    <xf numFmtId="0" fontId="13" fillId="0" borderId="42" xfId="0" applyFont="1" applyBorder="1" applyAlignment="1">
      <alignment horizontal="center"/>
    </xf>
    <xf numFmtId="0" fontId="0" fillId="0" borderId="16" xfId="0" applyBorder="1" applyAlignment="1">
      <alignment horizontal="center" vertical="center"/>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160" xfId="0" applyBorder="1" applyAlignment="1">
      <alignment horizontal="center" vertical="center"/>
    </xf>
    <xf numFmtId="0" fontId="0" fillId="16" borderId="8" xfId="0" applyFill="1" applyBorder="1" applyAlignment="1">
      <alignment horizontal="center" vertical="center"/>
    </xf>
    <xf numFmtId="0" fontId="0" fillId="16" borderId="14" xfId="0" applyFill="1" applyBorder="1" applyAlignment="1">
      <alignment horizontal="center" vertical="center"/>
    </xf>
    <xf numFmtId="0" fontId="13" fillId="0" borderId="163" xfId="0" applyFont="1" applyBorder="1" applyAlignment="1">
      <alignment horizontal="center"/>
    </xf>
    <xf numFmtId="0" fontId="13" fillId="0" borderId="13" xfId="0" applyFont="1" applyBorder="1" applyAlignment="1">
      <alignment horizontal="center"/>
    </xf>
    <xf numFmtId="0" fontId="13" fillId="0" borderId="2" xfId="0" applyFont="1" applyBorder="1" applyAlignment="1">
      <alignment horizontal="center"/>
    </xf>
    <xf numFmtId="0" fontId="13" fillId="0" borderId="50" xfId="0" applyFont="1" applyBorder="1" applyAlignment="1">
      <alignment horizontal="center"/>
    </xf>
    <xf numFmtId="0" fontId="0" fillId="0" borderId="16" xfId="0" applyFill="1" applyBorder="1" applyAlignment="1">
      <alignment horizontal="left" vertical="center"/>
    </xf>
    <xf numFmtId="0" fontId="0" fillId="0" borderId="0" xfId="0" applyBorder="1" applyAlignment="1">
      <alignment horizontal="left"/>
    </xf>
    <xf numFmtId="0" fontId="0" fillId="0" borderId="42" xfId="0" applyFill="1" applyBorder="1" applyAlignment="1">
      <alignment horizontal="left"/>
    </xf>
    <xf numFmtId="0" fontId="0" fillId="0" borderId="16" xfId="0" applyBorder="1" applyAlignment="1">
      <alignment horizontal="left"/>
    </xf>
    <xf numFmtId="0" fontId="0" fillId="16" borderId="0" xfId="0" applyFill="1" applyBorder="1" applyAlignment="1">
      <alignment horizontal="left"/>
    </xf>
    <xf numFmtId="0" fontId="0" fillId="0" borderId="42" xfId="0" applyBorder="1" applyAlignment="1">
      <alignment horizontal="left"/>
    </xf>
    <xf numFmtId="0" fontId="0" fillId="16" borderId="42" xfId="0" applyFill="1" applyBorder="1" applyAlignment="1">
      <alignment horizontal="left"/>
    </xf>
    <xf numFmtId="0" fontId="0" fillId="0" borderId="44" xfId="0" applyBorder="1" applyAlignment="1">
      <alignment horizontal="left"/>
    </xf>
    <xf numFmtId="0" fontId="0" fillId="16" borderId="8" xfId="0" applyFill="1" applyBorder="1" applyAlignment="1">
      <alignment horizontal="left"/>
    </xf>
    <xf numFmtId="0" fontId="0" fillId="16" borderId="14" xfId="0" applyFill="1" applyBorder="1" applyAlignment="1">
      <alignment horizontal="left"/>
    </xf>
    <xf numFmtId="0" fontId="0" fillId="0" borderId="159" xfId="0" applyFill="1" applyBorder="1" applyAlignment="1">
      <alignment horizontal="left" vertical="center"/>
    </xf>
    <xf numFmtId="0" fontId="0" fillId="16" borderId="159" xfId="0" applyFill="1" applyBorder="1" applyAlignment="1">
      <alignment horizontal="left"/>
    </xf>
    <xf numFmtId="0" fontId="0" fillId="0" borderId="159" xfId="0" applyBorder="1" applyAlignment="1">
      <alignment horizontal="left"/>
    </xf>
    <xf numFmtId="0" fontId="0" fillId="0" borderId="160" xfId="0" applyBorder="1" applyAlignment="1">
      <alignment horizontal="left"/>
    </xf>
    <xf numFmtId="38" fontId="12" fillId="6" borderId="54" xfId="0" applyNumberFormat="1" applyFont="1" applyFill="1" applyBorder="1" applyAlignment="1" applyProtection="1">
      <alignment horizontal="center" vertical="center"/>
    </xf>
    <xf numFmtId="0" fontId="0" fillId="0" borderId="44" xfId="0" applyFill="1" applyBorder="1" applyAlignment="1">
      <alignment horizontal="left" vertical="center"/>
    </xf>
    <xf numFmtId="0" fontId="0" fillId="0" borderId="42" xfId="0" applyFill="1" applyBorder="1" applyAlignment="1">
      <alignment horizontal="left" vertical="center"/>
    </xf>
    <xf numFmtId="0" fontId="0" fillId="0" borderId="166" xfId="0" applyFill="1" applyBorder="1" applyAlignment="1">
      <alignment horizontal="left" vertical="center"/>
    </xf>
    <xf numFmtId="6" fontId="0" fillId="0" borderId="16" xfId="0" applyNumberFormat="1" applyFill="1" applyBorder="1" applyAlignment="1">
      <alignment horizontal="center" vertical="center"/>
    </xf>
    <xf numFmtId="6" fontId="0" fillId="0" borderId="42" xfId="0" applyNumberFormat="1" applyFill="1" applyBorder="1" applyAlignment="1">
      <alignment horizontal="center" vertical="center"/>
    </xf>
    <xf numFmtId="6" fontId="0" fillId="16" borderId="42" xfId="0" applyNumberFormat="1" applyFill="1" applyBorder="1" applyAlignment="1">
      <alignment horizontal="center"/>
    </xf>
    <xf numFmtId="6" fontId="0" fillId="0" borderId="44" xfId="0" applyNumberFormat="1" applyFill="1" applyBorder="1" applyAlignment="1">
      <alignment horizontal="center" vertical="center"/>
    </xf>
    <xf numFmtId="6" fontId="0" fillId="0" borderId="166" xfId="0" applyNumberFormat="1" applyFill="1" applyBorder="1" applyAlignment="1">
      <alignment horizontal="center" vertical="center"/>
    </xf>
    <xf numFmtId="0" fontId="0" fillId="0" borderId="8" xfId="0" applyBorder="1" applyAlignment="1">
      <alignment vertical="center"/>
    </xf>
    <xf numFmtId="38" fontId="0" fillId="0" borderId="8" xfId="0" applyNumberFormat="1" applyBorder="1" applyAlignment="1">
      <alignment horizontal="center" vertical="center"/>
    </xf>
    <xf numFmtId="0" fontId="2" fillId="0" borderId="57" xfId="0" applyFont="1" applyBorder="1"/>
    <xf numFmtId="38" fontId="2" fillId="0" borderId="57" xfId="0" applyNumberFormat="1" applyFont="1" applyFill="1" applyBorder="1" applyAlignment="1">
      <alignment horizontal="center" vertical="center"/>
    </xf>
    <xf numFmtId="0" fontId="2" fillId="0" borderId="57" xfId="0" applyFont="1" applyFill="1" applyBorder="1" applyAlignment="1">
      <alignment horizontal="center" vertical="center"/>
    </xf>
    <xf numFmtId="38" fontId="0" fillId="0" borderId="57" xfId="0" applyNumberFormat="1" applyFill="1" applyBorder="1" applyAlignment="1">
      <alignment horizontal="center" vertical="center"/>
    </xf>
    <xf numFmtId="0" fontId="138" fillId="0" borderId="28" xfId="0" applyFont="1" applyFill="1" applyBorder="1" applyAlignment="1" applyProtection="1">
      <alignment horizontal="center" vertical="center"/>
    </xf>
    <xf numFmtId="0" fontId="15" fillId="8" borderId="0" xfId="0" applyFont="1" applyFill="1" applyBorder="1" applyAlignment="1" applyProtection="1">
      <alignment horizontal="center" vertical="center"/>
    </xf>
    <xf numFmtId="0" fontId="59" fillId="0" borderId="0" xfId="0" applyFont="1" applyAlignment="1">
      <alignment horizontal="left" vertical="top"/>
    </xf>
    <xf numFmtId="0" fontId="0" fillId="0" borderId="0" xfId="0" applyAlignment="1">
      <alignment horizontal="left" vertical="top" wrapText="1"/>
    </xf>
    <xf numFmtId="0" fontId="59" fillId="0" borderId="0" xfId="0" applyFont="1" applyAlignment="1">
      <alignment horizontal="left" vertical="top" wrapText="1"/>
    </xf>
    <xf numFmtId="0" fontId="2" fillId="5" borderId="3" xfId="0" applyFont="1" applyFill="1" applyBorder="1" applyAlignment="1" applyProtection="1">
      <alignment horizontal="center" vertical="center" wrapText="1"/>
    </xf>
    <xf numFmtId="0" fontId="2" fillId="5" borderId="4" xfId="0" applyFont="1" applyFill="1" applyBorder="1" applyAlignment="1" applyProtection="1">
      <alignment horizontal="center" vertical="center" wrapText="1"/>
    </xf>
    <xf numFmtId="0" fontId="2" fillId="5" borderId="10" xfId="0" applyFont="1" applyFill="1" applyBorder="1" applyAlignment="1" applyProtection="1">
      <alignment horizontal="center" vertical="center" wrapText="1"/>
    </xf>
    <xf numFmtId="49" fontId="0" fillId="0" borderId="62" xfId="0" applyNumberFormat="1" applyBorder="1" applyAlignment="1">
      <alignment horizontal="left" vertical="center" wrapText="1"/>
    </xf>
    <xf numFmtId="49" fontId="0" fillId="0" borderId="18" xfId="0" applyNumberFormat="1" applyBorder="1" applyAlignment="1">
      <alignment horizontal="left" vertical="center" wrapText="1"/>
    </xf>
    <xf numFmtId="49" fontId="0" fillId="0" borderId="63" xfId="0" applyNumberFormat="1" applyBorder="1" applyAlignment="1">
      <alignment horizontal="left" vertical="center" wrapText="1"/>
    </xf>
    <xf numFmtId="49" fontId="0" fillId="10" borderId="62" xfId="0" applyNumberFormat="1" applyFill="1" applyBorder="1" applyAlignment="1">
      <alignment horizontal="left" vertical="center" wrapText="1"/>
    </xf>
    <xf numFmtId="49" fontId="0" fillId="10" borderId="18" xfId="0" applyNumberFormat="1" applyFill="1" applyBorder="1" applyAlignment="1">
      <alignment horizontal="left" vertical="center" wrapText="1"/>
    </xf>
    <xf numFmtId="49" fontId="0" fillId="10" borderId="63" xfId="0" applyNumberFormat="1" applyFill="1" applyBorder="1" applyAlignment="1">
      <alignment horizontal="left" vertical="center" wrapText="1"/>
    </xf>
    <xf numFmtId="49" fontId="0" fillId="0" borderId="62" xfId="0" applyNumberFormat="1" applyFill="1" applyBorder="1" applyAlignment="1">
      <alignment horizontal="left" vertical="center" wrapText="1"/>
    </xf>
    <xf numFmtId="49" fontId="0" fillId="0" borderId="18" xfId="0" applyNumberFormat="1" applyFill="1" applyBorder="1" applyAlignment="1">
      <alignment horizontal="left" vertical="center" wrapText="1"/>
    </xf>
    <xf numFmtId="49" fontId="0" fillId="0" borderId="63" xfId="0" applyNumberFormat="1" applyFill="1" applyBorder="1" applyAlignment="1">
      <alignment horizontal="left" vertical="center" wrapText="1"/>
    </xf>
    <xf numFmtId="0" fontId="0" fillId="0" borderId="62" xfId="0" applyNumberFormat="1" applyFill="1" applyBorder="1" applyAlignment="1">
      <alignment horizontal="left" vertical="center" wrapText="1"/>
    </xf>
    <xf numFmtId="0" fontId="0" fillId="0" borderId="18" xfId="0" applyNumberFormat="1" applyFill="1" applyBorder="1" applyAlignment="1">
      <alignment horizontal="left" vertical="center" wrapText="1"/>
    </xf>
    <xf numFmtId="0" fontId="0" fillId="0" borderId="63" xfId="0" applyNumberFormat="1" applyFill="1" applyBorder="1" applyAlignment="1">
      <alignment horizontal="left" vertical="center" wrapText="1"/>
    </xf>
    <xf numFmtId="49" fontId="0" fillId="8" borderId="62" xfId="0" applyNumberFormat="1" applyFill="1" applyBorder="1" applyAlignment="1">
      <alignment horizontal="left" vertical="center" wrapText="1"/>
    </xf>
    <xf numFmtId="49" fontId="0" fillId="8" borderId="18" xfId="0" applyNumberFormat="1" applyFill="1" applyBorder="1" applyAlignment="1">
      <alignment horizontal="left" vertical="center" wrapText="1"/>
    </xf>
    <xf numFmtId="49" fontId="0" fillId="8" borderId="63" xfId="0" applyNumberFormat="1" applyFill="1" applyBorder="1" applyAlignment="1">
      <alignment horizontal="left" vertical="center" wrapText="1"/>
    </xf>
    <xf numFmtId="49" fontId="0" fillId="0" borderId="62" xfId="0" applyNumberFormat="1" applyBorder="1" applyAlignment="1">
      <alignment horizontal="left" vertical="center"/>
    </xf>
    <xf numFmtId="49" fontId="0" fillId="0" borderId="18" xfId="0" applyNumberFormat="1" applyBorder="1" applyAlignment="1">
      <alignment horizontal="left" vertical="center"/>
    </xf>
    <xf numFmtId="49" fontId="0" fillId="0" borderId="63" xfId="0" applyNumberFormat="1" applyBorder="1" applyAlignment="1">
      <alignment horizontal="left" vertical="center"/>
    </xf>
    <xf numFmtId="0" fontId="110" fillId="0" borderId="0" xfId="0" quotePrefix="1" applyFont="1" applyAlignment="1">
      <alignment horizontal="left" vertical="top" wrapText="1"/>
    </xf>
    <xf numFmtId="49" fontId="0" fillId="0" borderId="71" xfId="0" applyNumberFormat="1" applyBorder="1" applyAlignment="1">
      <alignment horizontal="left" vertical="center" wrapText="1"/>
    </xf>
    <xf numFmtId="49" fontId="0" fillId="0" borderId="19" xfId="0" applyNumberFormat="1" applyBorder="1" applyAlignment="1">
      <alignment horizontal="left" vertical="center" wrapText="1"/>
    </xf>
    <xf numFmtId="49" fontId="0" fillId="0" borderId="72" xfId="0" applyNumberFormat="1" applyBorder="1" applyAlignment="1">
      <alignment horizontal="left" vertical="center" wrapText="1"/>
    </xf>
    <xf numFmtId="0" fontId="2" fillId="0" borderId="7" xfId="0" applyFont="1" applyBorder="1" applyAlignment="1">
      <alignment horizontal="center"/>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indent="4"/>
    </xf>
    <xf numFmtId="0" fontId="0" fillId="0" borderId="0" xfId="0" applyAlignment="1">
      <alignment horizontal="left" wrapText="1"/>
    </xf>
    <xf numFmtId="0" fontId="2" fillId="0" borderId="5"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0" fillId="0" borderId="0" xfId="0" applyAlignment="1">
      <alignment horizontal="left"/>
    </xf>
    <xf numFmtId="0" fontId="0" fillId="0" borderId="139" xfId="0" applyBorder="1" applyAlignment="1">
      <alignment horizontal="center" vertical="center"/>
    </xf>
    <xf numFmtId="0" fontId="0" fillId="0" borderId="140" xfId="0" applyBorder="1" applyAlignment="1">
      <alignment horizontal="center" vertical="center"/>
    </xf>
    <xf numFmtId="0" fontId="12" fillId="6" borderId="26" xfId="0" applyFont="1" applyFill="1" applyBorder="1" applyAlignment="1" applyProtection="1">
      <alignment horizontal="center" vertical="center"/>
    </xf>
    <xf numFmtId="0" fontId="2" fillId="0" borderId="44" xfId="0" applyFont="1" applyBorder="1" applyAlignment="1">
      <alignment horizontal="center"/>
    </xf>
    <xf numFmtId="0" fontId="2" fillId="0" borderId="160" xfId="0" applyFont="1" applyBorder="1" applyAlignment="1">
      <alignment horizontal="center"/>
    </xf>
    <xf numFmtId="0" fontId="2" fillId="0" borderId="8"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0" xfId="0" applyFont="1" applyBorder="1" applyAlignment="1">
      <alignment horizontal="center"/>
    </xf>
    <xf numFmtId="213" fontId="2" fillId="0" borderId="3" xfId="0" applyNumberFormat="1" applyFont="1" applyBorder="1" applyAlignment="1">
      <alignment horizontal="center"/>
    </xf>
    <xf numFmtId="213" fontId="2" fillId="0" borderId="4" xfId="0" applyNumberFormat="1" applyFont="1" applyBorder="1" applyAlignment="1">
      <alignment horizontal="center"/>
    </xf>
    <xf numFmtId="213" fontId="2" fillId="0" borderId="10" xfId="0" applyNumberFormat="1" applyFont="1" applyBorder="1" applyAlignment="1">
      <alignment horizontal="center"/>
    </xf>
    <xf numFmtId="0" fontId="0" fillId="0" borderId="161" xfId="0" applyBorder="1" applyAlignment="1">
      <alignment horizontal="center" vertical="center"/>
    </xf>
    <xf numFmtId="0" fontId="0" fillId="0" borderId="0" xfId="0" applyBorder="1" applyAlignment="1">
      <alignment horizontal="center" vertical="center"/>
    </xf>
    <xf numFmtId="0" fontId="0" fillId="0" borderId="42" xfId="0" applyBorder="1" applyAlignment="1">
      <alignment horizontal="center" vertical="center"/>
    </xf>
    <xf numFmtId="0" fontId="2" fillId="0" borderId="164" xfId="0" applyFont="1" applyBorder="1" applyAlignment="1">
      <alignment horizontal="center"/>
    </xf>
    <xf numFmtId="0" fontId="2" fillId="0" borderId="165" xfId="0" applyFont="1" applyBorder="1" applyAlignment="1">
      <alignment horizontal="center"/>
    </xf>
    <xf numFmtId="0" fontId="12" fillId="6" borderId="36" xfId="0" applyFont="1" applyFill="1" applyBorder="1" applyAlignment="1" applyProtection="1">
      <alignment horizontal="center" vertical="center"/>
    </xf>
    <xf numFmtId="0" fontId="12" fillId="6" borderId="54" xfId="0" applyFont="1" applyFill="1" applyBorder="1" applyAlignment="1">
      <alignment horizontal="left" vertical="center"/>
    </xf>
    <xf numFmtId="9" fontId="12" fillId="6" borderId="17" xfId="4" applyFont="1" applyFill="1" applyBorder="1" applyAlignment="1">
      <alignment horizontal="center" vertical="center"/>
    </xf>
    <xf numFmtId="0" fontId="12" fillId="6" borderId="76" xfId="4" applyNumberFormat="1" applyFont="1" applyFill="1" applyBorder="1" applyAlignment="1">
      <alignment horizontal="center" vertical="center"/>
    </xf>
    <xf numFmtId="0" fontId="12" fillId="21" borderId="17" xfId="0" applyFont="1" applyFill="1" applyBorder="1" applyAlignment="1">
      <alignment horizontal="left" vertical="center" indent="1"/>
    </xf>
    <xf numFmtId="196" fontId="0" fillId="0" borderId="28" xfId="0" applyNumberFormat="1" applyBorder="1" applyAlignment="1">
      <alignment horizontal="center" vertical="center"/>
    </xf>
    <xf numFmtId="196" fontId="0" fillId="0" borderId="14" xfId="0" applyNumberFormat="1" applyBorder="1" applyAlignment="1">
      <alignment horizontal="center" vertical="center"/>
    </xf>
    <xf numFmtId="38" fontId="4" fillId="0" borderId="2" xfId="0" applyNumberFormat="1" applyFont="1" applyFill="1" applyBorder="1" applyAlignment="1">
      <alignment horizontal="center"/>
    </xf>
    <xf numFmtId="38" fontId="4" fillId="0" borderId="50" xfId="0" applyNumberFormat="1" applyFont="1" applyFill="1" applyBorder="1" applyAlignment="1">
      <alignment horizontal="center"/>
    </xf>
    <xf numFmtId="203" fontId="0" fillId="0" borderId="0" xfId="0" applyNumberFormat="1" applyBorder="1" applyAlignment="1">
      <alignment horizontal="center" vertical="center"/>
    </xf>
    <xf numFmtId="203" fontId="0" fillId="0" borderId="8" xfId="0" applyNumberFormat="1" applyBorder="1" applyAlignment="1">
      <alignment horizontal="center" vertical="center"/>
    </xf>
    <xf numFmtId="0" fontId="12" fillId="6" borderId="24" xfId="0" applyFont="1" applyFill="1" applyBorder="1" applyAlignment="1" applyProtection="1">
      <alignment horizontal="center" vertical="center"/>
    </xf>
    <xf numFmtId="0" fontId="0" fillId="0" borderId="97" xfId="0" applyBorder="1" applyAlignment="1">
      <alignment horizontal="left" vertical="center" wrapText="1"/>
    </xf>
    <xf numFmtId="0" fontId="0" fillId="0" borderId="75" xfId="0" applyBorder="1" applyAlignment="1">
      <alignment horizontal="left" vertical="center" wrapText="1"/>
    </xf>
    <xf numFmtId="215" fontId="0" fillId="0" borderId="3" xfId="0" applyNumberFormat="1" applyBorder="1" applyAlignment="1">
      <alignment horizontal="center" vertical="center"/>
    </xf>
    <xf numFmtId="215" fontId="0" fillId="0" borderId="10" xfId="0" applyNumberFormat="1" applyBorder="1" applyAlignment="1">
      <alignment horizontal="center" vertical="center"/>
    </xf>
    <xf numFmtId="0" fontId="2" fillId="0" borderId="162" xfId="0" applyFont="1" applyBorder="1" applyAlignment="1">
      <alignment horizontal="center"/>
    </xf>
    <xf numFmtId="214" fontId="0" fillId="0" borderId="3" xfId="0" applyNumberFormat="1" applyBorder="1" applyAlignment="1">
      <alignment horizontal="center" vertical="center"/>
    </xf>
    <xf numFmtId="214" fontId="0" fillId="0" borderId="10" xfId="0" applyNumberFormat="1" applyBorder="1" applyAlignment="1">
      <alignment horizontal="center" vertical="center"/>
    </xf>
    <xf numFmtId="0" fontId="0" fillId="0" borderId="13" xfId="0" applyFill="1" applyBorder="1" applyAlignment="1">
      <alignment horizontal="left" vertical="top" wrapText="1"/>
    </xf>
    <xf numFmtId="0" fontId="0" fillId="0" borderId="2" xfId="0" applyFill="1" applyBorder="1" applyAlignment="1">
      <alignment horizontal="left" vertical="top" wrapText="1"/>
    </xf>
    <xf numFmtId="0" fontId="0" fillId="0" borderId="50" xfId="0" applyFill="1" applyBorder="1" applyAlignment="1">
      <alignment horizontal="left" vertical="top" wrapText="1"/>
    </xf>
    <xf numFmtId="0" fontId="0" fillId="0" borderId="16" xfId="0" applyFill="1" applyBorder="1" applyAlignment="1">
      <alignment horizontal="left" vertical="top" wrapText="1"/>
    </xf>
    <xf numFmtId="0" fontId="0" fillId="0" borderId="0" xfId="0" applyFill="1" applyBorder="1" applyAlignment="1">
      <alignment horizontal="left" vertical="top" wrapText="1"/>
    </xf>
    <xf numFmtId="0" fontId="0" fillId="0" borderId="42" xfId="0" applyFill="1" applyBorder="1" applyAlignment="1">
      <alignment horizontal="left" vertical="top" wrapText="1"/>
    </xf>
    <xf numFmtId="0" fontId="0" fillId="0" borderId="44" xfId="0" applyFill="1" applyBorder="1" applyAlignment="1">
      <alignment horizontal="left" vertical="top" wrapText="1"/>
    </xf>
    <xf numFmtId="0" fontId="0" fillId="0" borderId="8" xfId="0" applyFill="1" applyBorder="1" applyAlignment="1">
      <alignment horizontal="left" vertical="top" wrapText="1"/>
    </xf>
    <xf numFmtId="0" fontId="0" fillId="0" borderId="166" xfId="0" applyFill="1" applyBorder="1" applyAlignment="1">
      <alignment horizontal="left" vertical="top" wrapText="1"/>
    </xf>
    <xf numFmtId="216" fontId="0" fillId="0" borderId="3" xfId="0" applyNumberFormat="1" applyBorder="1" applyAlignment="1">
      <alignment horizontal="center" vertical="center"/>
    </xf>
    <xf numFmtId="216" fontId="0" fillId="0" borderId="10" xfId="0" applyNumberFormat="1" applyBorder="1" applyAlignment="1">
      <alignment horizontal="center" vertical="center"/>
    </xf>
    <xf numFmtId="0" fontId="2" fillId="9" borderId="16" xfId="0" applyFont="1" applyFill="1" applyBorder="1" applyAlignment="1">
      <alignment horizontal="left"/>
    </xf>
    <xf numFmtId="0" fontId="2" fillId="9" borderId="0" xfId="0" applyFont="1" applyFill="1" applyBorder="1" applyAlignment="1">
      <alignment horizontal="left"/>
    </xf>
    <xf numFmtId="0" fontId="2" fillId="24" borderId="5" xfId="0" applyFont="1" applyFill="1" applyBorder="1" applyAlignment="1">
      <alignment horizontal="center"/>
    </xf>
    <xf numFmtId="0" fontId="2" fillId="24" borderId="1" xfId="0" applyFont="1" applyFill="1" applyBorder="1" applyAlignment="1">
      <alignment horizontal="center"/>
    </xf>
    <xf numFmtId="0" fontId="2" fillId="24" borderId="6" xfId="0" applyFont="1" applyFill="1" applyBorder="1" applyAlignment="1">
      <alignment horizontal="center"/>
    </xf>
    <xf numFmtId="0" fontId="0" fillId="13" borderId="0" xfId="0" applyFill="1" applyAlignment="1">
      <alignment horizontal="left"/>
    </xf>
    <xf numFmtId="0" fontId="2" fillId="9" borderId="5" xfId="0" applyFont="1" applyFill="1" applyBorder="1" applyAlignment="1">
      <alignment horizontal="center"/>
    </xf>
    <xf numFmtId="0" fontId="2" fillId="9" borderId="6" xfId="0" applyFont="1" applyFill="1" applyBorder="1" applyAlignment="1">
      <alignment horizontal="center"/>
    </xf>
    <xf numFmtId="0" fontId="2" fillId="9" borderId="5" xfId="0" applyFont="1" applyFill="1" applyBorder="1" applyAlignment="1">
      <alignment horizontal="left"/>
    </xf>
    <xf numFmtId="0" fontId="2" fillId="9" borderId="1" xfId="0" applyFont="1" applyFill="1" applyBorder="1" applyAlignment="1">
      <alignment horizontal="left"/>
    </xf>
    <xf numFmtId="0" fontId="2" fillId="9" borderId="6" xfId="0" applyFont="1" applyFill="1" applyBorder="1" applyAlignment="1">
      <alignment horizontal="left"/>
    </xf>
    <xf numFmtId="0" fontId="58" fillId="8" borderId="0" xfId="0" applyFont="1" applyFill="1" applyBorder="1" applyAlignment="1">
      <alignment horizontal="center" textRotation="90"/>
    </xf>
    <xf numFmtId="0" fontId="10" fillId="0" borderId="5" xfId="0" applyFont="1" applyFill="1" applyBorder="1" applyAlignment="1">
      <alignment horizontal="center"/>
    </xf>
    <xf numFmtId="0" fontId="10" fillId="0" borderId="1" xfId="0" applyFont="1" applyFill="1" applyBorder="1" applyAlignment="1">
      <alignment horizontal="center"/>
    </xf>
    <xf numFmtId="0" fontId="10" fillId="0" borderId="6" xfId="0" applyFont="1" applyFill="1" applyBorder="1" applyAlignment="1">
      <alignment horizontal="center"/>
    </xf>
    <xf numFmtId="0" fontId="26" fillId="0" borderId="0" xfId="0" applyFont="1" applyBorder="1" applyAlignment="1" applyProtection="1">
      <alignment horizontal="right" vertical="center" wrapText="1"/>
    </xf>
    <xf numFmtId="38" fontId="4" fillId="27" borderId="55" xfId="0" applyNumberFormat="1" applyFont="1" applyFill="1" applyBorder="1" applyAlignment="1" applyProtection="1">
      <alignment horizontal="center" vertical="center"/>
    </xf>
    <xf numFmtId="38" fontId="4" fillId="0" borderId="0" xfId="0" applyNumberFormat="1" applyFont="1" applyBorder="1" applyAlignment="1" applyProtection="1">
      <alignment horizontal="center" vertical="center"/>
    </xf>
    <xf numFmtId="0" fontId="20" fillId="2" borderId="26" xfId="5" applyFont="1" applyFill="1" applyBorder="1" applyAlignment="1" applyProtection="1">
      <alignment horizontal="left" vertical="center"/>
      <protection locked="0"/>
    </xf>
    <xf numFmtId="0" fontId="27" fillId="2" borderId="26" xfId="0" applyFont="1" applyFill="1" applyBorder="1" applyAlignment="1" applyProtection="1">
      <alignment horizontal="left" vertical="center"/>
      <protection locked="0"/>
    </xf>
    <xf numFmtId="0" fontId="26" fillId="0" borderId="0" xfId="0" applyFont="1" applyFill="1" applyBorder="1" applyAlignment="1" applyProtection="1">
      <alignment horizontal="right" vertical="center" wrapText="1"/>
    </xf>
    <xf numFmtId="0" fontId="27" fillId="2" borderId="36" xfId="0" applyFont="1" applyFill="1" applyBorder="1" applyAlignment="1" applyProtection="1">
      <alignment horizontal="left" vertical="center"/>
      <protection locked="0"/>
    </xf>
    <xf numFmtId="0" fontId="26" fillId="0" borderId="0" xfId="0" applyFont="1" applyBorder="1" applyAlignment="1" applyProtection="1">
      <alignment horizontal="right" vertical="center"/>
    </xf>
    <xf numFmtId="0" fontId="2" fillId="0" borderId="0" xfId="0" applyFont="1" applyFill="1" applyBorder="1" applyAlignment="1" applyProtection="1">
      <alignment horizontal="left" vertical="top"/>
    </xf>
    <xf numFmtId="0" fontId="27" fillId="2" borderId="26" xfId="0" applyFont="1" applyFill="1" applyBorder="1" applyAlignment="1" applyProtection="1">
      <alignment horizontal="left" vertical="center" wrapText="1"/>
      <protection locked="0"/>
    </xf>
    <xf numFmtId="0" fontId="0" fillId="0" borderId="0" xfId="0" applyBorder="1" applyAlignment="1" applyProtection="1">
      <alignment horizontal="left" vertical="center"/>
    </xf>
    <xf numFmtId="38" fontId="12" fillId="6" borderId="55" xfId="0" applyNumberFormat="1" applyFont="1" applyFill="1" applyBorder="1" applyAlignment="1" applyProtection="1">
      <alignment horizontal="center" vertical="center"/>
    </xf>
    <xf numFmtId="0" fontId="0" fillId="0" borderId="0" xfId="0" applyBorder="1" applyAlignment="1" applyProtection="1">
      <alignment vertical="top" wrapText="1"/>
    </xf>
    <xf numFmtId="49" fontId="0" fillId="2" borderId="26" xfId="0" applyNumberFormat="1" applyFont="1" applyFill="1" applyBorder="1" applyAlignment="1" applyProtection="1">
      <alignment horizontal="left" vertical="center" wrapText="1"/>
      <protection locked="0"/>
    </xf>
    <xf numFmtId="49" fontId="0" fillId="2" borderId="36" xfId="0" applyNumberFormat="1" applyFont="1" applyFill="1" applyBorder="1" applyAlignment="1" applyProtection="1">
      <alignment horizontal="left" vertical="center" wrapText="1"/>
      <protection locked="0"/>
    </xf>
    <xf numFmtId="0" fontId="0" fillId="0" borderId="0" xfId="0" applyFont="1" applyBorder="1" applyAlignment="1" applyProtection="1">
      <alignment horizontal="left" vertical="top" wrapText="1"/>
    </xf>
    <xf numFmtId="0" fontId="109" fillId="0" borderId="0" xfId="0" applyFont="1" applyFill="1" applyBorder="1" applyAlignment="1" applyProtection="1">
      <alignment horizontal="left" vertical="center" wrapText="1"/>
    </xf>
    <xf numFmtId="0" fontId="0" fillId="0" borderId="0" xfId="0" applyFont="1" applyFill="1" applyBorder="1" applyAlignment="1" applyProtection="1">
      <alignment horizontal="left" vertical="top" wrapText="1"/>
    </xf>
    <xf numFmtId="0" fontId="0" fillId="0" borderId="0" xfId="0" applyBorder="1" applyAlignment="1" applyProtection="1">
      <alignment horizontal="left" vertical="top" wrapText="1"/>
    </xf>
    <xf numFmtId="0" fontId="2" fillId="0" borderId="0" xfId="0" applyFont="1" applyBorder="1" applyAlignment="1" applyProtection="1">
      <alignment horizontal="left" vertical="top" wrapText="1"/>
    </xf>
    <xf numFmtId="49" fontId="0" fillId="0" borderId="0" xfId="0" applyNumberFormat="1" applyFont="1" applyBorder="1" applyAlignment="1" applyProtection="1">
      <alignment horizontal="left" vertical="top" wrapText="1"/>
    </xf>
    <xf numFmtId="0" fontId="12" fillId="2" borderId="26" xfId="0" applyFont="1" applyFill="1" applyBorder="1" applyAlignment="1" applyProtection="1">
      <alignment horizontal="left" vertical="center" wrapText="1"/>
      <protection locked="0"/>
    </xf>
    <xf numFmtId="0" fontId="0" fillId="0" borderId="0" xfId="0" applyFont="1" applyBorder="1" applyAlignment="1" applyProtection="1">
      <alignment horizontal="left" vertical="center" wrapText="1"/>
    </xf>
    <xf numFmtId="0" fontId="109" fillId="0" borderId="0" xfId="0" applyFont="1" applyBorder="1" applyAlignment="1" applyProtection="1">
      <alignment horizontal="left" vertical="center" wrapText="1"/>
    </xf>
    <xf numFmtId="0" fontId="12" fillId="2" borderId="26" xfId="0" applyFont="1" applyFill="1" applyBorder="1" applyAlignment="1" applyProtection="1">
      <alignment horizontal="left" vertical="center"/>
    </xf>
    <xf numFmtId="0" fontId="12" fillId="2" borderId="26" xfId="0" applyFont="1" applyFill="1" applyBorder="1" applyAlignment="1" applyProtection="1">
      <alignment horizontal="left" vertical="center"/>
      <protection locked="0"/>
    </xf>
    <xf numFmtId="0" fontId="26" fillId="0" borderId="0" xfId="0" applyFont="1" applyFill="1" applyBorder="1" applyAlignment="1" applyProtection="1">
      <alignment horizontal="right" vertical="center"/>
    </xf>
    <xf numFmtId="0" fontId="27" fillId="2" borderId="36" xfId="0" applyFont="1" applyFill="1" applyBorder="1" applyAlignment="1" applyProtection="1">
      <alignment horizontal="left" vertical="center" wrapText="1"/>
      <protection locked="0"/>
    </xf>
    <xf numFmtId="0" fontId="0" fillId="0" borderId="0" xfId="0" applyBorder="1" applyAlignment="1" applyProtection="1">
      <alignment horizontal="left" vertical="top"/>
    </xf>
    <xf numFmtId="0" fontId="2" fillId="8" borderId="0" xfId="0" applyFont="1" applyFill="1" applyBorder="1" applyAlignment="1" applyProtection="1">
      <alignment horizontal="left" vertical="top"/>
    </xf>
    <xf numFmtId="0" fontId="2" fillId="0" borderId="0" xfId="0" applyFont="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7" fillId="2" borderId="24" xfId="0" applyFont="1" applyFill="1" applyBorder="1" applyAlignment="1" applyProtection="1">
      <alignment horizontal="left" vertical="center" wrapText="1"/>
      <protection locked="0"/>
    </xf>
    <xf numFmtId="0" fontId="0" fillId="0" borderId="0" xfId="0" applyFont="1" applyFill="1" applyBorder="1" applyAlignment="1" applyProtection="1">
      <alignment horizontal="right" vertical="center" wrapText="1"/>
    </xf>
    <xf numFmtId="0" fontId="12" fillId="2" borderId="24" xfId="0" applyFont="1" applyFill="1" applyBorder="1" applyAlignment="1" applyProtection="1">
      <alignment horizontal="left" vertical="center" wrapText="1"/>
      <protection locked="0"/>
    </xf>
    <xf numFmtId="0" fontId="12" fillId="2" borderId="36" xfId="0" applyFont="1" applyFill="1" applyBorder="1" applyAlignment="1" applyProtection="1">
      <alignment horizontal="left" vertical="center" wrapText="1"/>
      <protection locked="0"/>
    </xf>
    <xf numFmtId="0" fontId="109" fillId="0" borderId="0" xfId="0" applyFont="1" applyBorder="1" applyAlignment="1">
      <alignment horizontal="left" vertical="center" wrapText="1"/>
    </xf>
    <xf numFmtId="0" fontId="0" fillId="0" borderId="0" xfId="0" applyBorder="1" applyAlignment="1" applyProtection="1">
      <alignment horizontal="left" vertical="center" wrapText="1"/>
    </xf>
    <xf numFmtId="0" fontId="0" fillId="0" borderId="0" xfId="0" applyFont="1" applyAlignment="1">
      <alignment horizontal="left" vertical="top"/>
    </xf>
    <xf numFmtId="0" fontId="0" fillId="0" borderId="0" xfId="0" applyFont="1" applyFill="1" applyBorder="1" applyAlignment="1" applyProtection="1">
      <alignment horizontal="left" vertical="top"/>
    </xf>
    <xf numFmtId="0" fontId="20" fillId="2" borderId="26" xfId="5" applyFont="1" applyFill="1" applyBorder="1" applyAlignment="1" applyProtection="1">
      <alignment horizontal="left" vertical="center" wrapText="1"/>
      <protection locked="0"/>
    </xf>
    <xf numFmtId="0" fontId="4" fillId="0" borderId="0" xfId="0" applyFont="1" applyBorder="1" applyAlignment="1" applyProtection="1">
      <alignment horizontal="left" vertical="top" wrapText="1"/>
    </xf>
    <xf numFmtId="0" fontId="2" fillId="0" borderId="0" xfId="0" applyFont="1" applyBorder="1" applyAlignment="1" applyProtection="1">
      <alignment horizontal="left" vertical="center"/>
    </xf>
    <xf numFmtId="0" fontId="124" fillId="8" borderId="0" xfId="0" applyFont="1" applyFill="1" applyBorder="1" applyAlignment="1" applyProtection="1">
      <alignment horizontal="right" wrapText="1"/>
    </xf>
    <xf numFmtId="0" fontId="0" fillId="0" borderId="0" xfId="0" applyFont="1" applyAlignment="1">
      <alignment horizontal="left" vertical="center" wrapText="1"/>
    </xf>
    <xf numFmtId="0" fontId="124" fillId="0" borderId="16" xfId="0" applyFont="1" applyBorder="1" applyAlignment="1" applyProtection="1">
      <alignment horizontal="right" wrapText="1"/>
    </xf>
    <xf numFmtId="0" fontId="124" fillId="8" borderId="16" xfId="0" applyFont="1" applyFill="1" applyBorder="1" applyAlignment="1" applyProtection="1">
      <alignment horizontal="right" wrapText="1"/>
    </xf>
    <xf numFmtId="0" fontId="0" fillId="0" borderId="107" xfId="0" applyFont="1" applyBorder="1" applyAlignment="1" applyProtection="1">
      <alignment horizontal="left" vertical="center"/>
    </xf>
    <xf numFmtId="0" fontId="0" fillId="0" borderId="27" xfId="0" applyFont="1" applyBorder="1" applyAlignment="1" applyProtection="1">
      <alignment horizontal="left" vertical="center"/>
    </xf>
    <xf numFmtId="0" fontId="0" fillId="0" borderId="16" xfId="0" applyFont="1" applyBorder="1" applyAlignment="1" applyProtection="1">
      <alignment horizontal="left" vertical="center"/>
    </xf>
    <xf numFmtId="0" fontId="0" fillId="0" borderId="0" xfId="0" applyFont="1" applyBorder="1" applyAlignment="1" applyProtection="1">
      <alignment horizontal="left" vertical="center"/>
    </xf>
    <xf numFmtId="0" fontId="0" fillId="0" borderId="69" xfId="0" applyFont="1" applyBorder="1" applyAlignment="1" applyProtection="1">
      <alignment horizontal="left" vertical="center"/>
    </xf>
    <xf numFmtId="0" fontId="0" fillId="0" borderId="17" xfId="0" applyFont="1" applyBorder="1" applyAlignment="1" applyProtection="1">
      <alignment horizontal="left" vertical="center"/>
    </xf>
    <xf numFmtId="0" fontId="0" fillId="12" borderId="27" xfId="0" applyFont="1" applyFill="1" applyBorder="1" applyAlignment="1" applyProtection="1">
      <alignment horizontal="center" vertical="center" wrapText="1"/>
    </xf>
    <xf numFmtId="0" fontId="0" fillId="12" borderId="0" xfId="0" applyFont="1" applyFill="1" applyBorder="1" applyAlignment="1" applyProtection="1">
      <alignment horizontal="center" vertical="center" wrapText="1"/>
    </xf>
    <xf numFmtId="0" fontId="0" fillId="12" borderId="17" xfId="0" applyFont="1" applyFill="1" applyBorder="1" applyAlignment="1" applyProtection="1">
      <alignment horizontal="center" vertical="center" wrapText="1"/>
    </xf>
    <xf numFmtId="0" fontId="0" fillId="0" borderId="108" xfId="0" applyFont="1" applyBorder="1" applyAlignment="1" applyProtection="1">
      <alignment horizontal="center" vertical="center" wrapText="1"/>
    </xf>
    <xf numFmtId="0" fontId="0" fillId="0" borderId="42" xfId="0" applyFont="1" applyBorder="1" applyAlignment="1" applyProtection="1">
      <alignment horizontal="center" vertical="center" wrapText="1"/>
    </xf>
    <xf numFmtId="0" fontId="0" fillId="0" borderId="70" xfId="0" applyFont="1" applyBorder="1" applyAlignment="1" applyProtection="1">
      <alignment horizontal="center" vertical="center" wrapText="1"/>
    </xf>
    <xf numFmtId="0" fontId="128" fillId="0" borderId="0" xfId="0" applyFont="1" applyBorder="1" applyAlignment="1" applyProtection="1">
      <alignment horizontal="left" wrapText="1"/>
    </xf>
    <xf numFmtId="0" fontId="4" fillId="0" borderId="42" xfId="0" applyFont="1" applyFill="1" applyBorder="1" applyAlignment="1" applyProtection="1">
      <alignment horizontal="center" vertical="center" textRotation="90"/>
    </xf>
    <xf numFmtId="0" fontId="2" fillId="0" borderId="7" xfId="0" applyFont="1" applyBorder="1" applyAlignment="1" applyProtection="1">
      <alignment horizontal="left" vertical="center" wrapText="1"/>
    </xf>
    <xf numFmtId="0" fontId="19" fillId="4" borderId="7" xfId="0" applyFont="1" applyFill="1" applyBorder="1" applyAlignment="1" applyProtection="1">
      <alignment horizontal="left" vertical="center" wrapText="1"/>
    </xf>
    <xf numFmtId="0" fontId="19" fillId="0" borderId="7" xfId="0" applyFont="1" applyBorder="1" applyAlignment="1" applyProtection="1">
      <alignment horizontal="center"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24" fillId="0" borderId="13" xfId="0" applyFont="1" applyBorder="1" applyAlignment="1" applyProtection="1">
      <alignment horizontal="center" vertical="center" wrapText="1"/>
    </xf>
    <xf numFmtId="0" fontId="24" fillId="0" borderId="2" xfId="0" applyFont="1" applyBorder="1" applyAlignment="1" applyProtection="1">
      <alignment horizontal="center" vertical="center" wrapText="1"/>
    </xf>
    <xf numFmtId="0" fontId="24" fillId="0" borderId="50" xfId="0" applyFont="1" applyBorder="1" applyAlignment="1" applyProtection="1">
      <alignment horizontal="center" vertical="center" wrapText="1"/>
    </xf>
    <xf numFmtId="0" fontId="24" fillId="0" borderId="44" xfId="0" applyFont="1" applyBorder="1" applyAlignment="1" applyProtection="1">
      <alignment horizontal="center" vertical="center" wrapText="1"/>
    </xf>
    <xf numFmtId="0" fontId="24" fillId="0" borderId="28" xfId="0" applyFont="1" applyBorder="1" applyAlignment="1" applyProtection="1">
      <alignment horizontal="center" vertical="center" wrapText="1"/>
    </xf>
    <xf numFmtId="0" fontId="24" fillId="0" borderId="14" xfId="0" applyFont="1" applyBorder="1" applyAlignment="1" applyProtection="1">
      <alignment horizontal="center" vertical="center" wrapText="1"/>
    </xf>
    <xf numFmtId="0" fontId="10" fillId="0" borderId="13" xfId="0" applyFont="1" applyFill="1" applyBorder="1" applyAlignment="1" applyProtection="1">
      <alignment horizontal="center" vertical="center" textRotation="90" wrapText="1"/>
    </xf>
    <xf numFmtId="0" fontId="10" fillId="0" borderId="50" xfId="0" applyFont="1" applyFill="1" applyBorder="1" applyAlignment="1" applyProtection="1">
      <alignment horizontal="center" vertical="center" textRotation="90" wrapText="1"/>
    </xf>
    <xf numFmtId="0" fontId="10" fillId="0" borderId="16" xfId="0" applyFont="1" applyFill="1" applyBorder="1" applyAlignment="1" applyProtection="1">
      <alignment horizontal="center" vertical="center" textRotation="90" wrapText="1"/>
    </xf>
    <xf numFmtId="0" fontId="10" fillId="0" borderId="42" xfId="0" applyFont="1" applyFill="1" applyBorder="1" applyAlignment="1" applyProtection="1">
      <alignment horizontal="center" vertical="center" textRotation="90" wrapText="1"/>
    </xf>
    <xf numFmtId="0" fontId="10" fillId="0" borderId="44" xfId="0" applyFont="1" applyFill="1" applyBorder="1" applyAlignment="1" applyProtection="1">
      <alignment horizontal="center" vertical="center" textRotation="90" wrapText="1"/>
    </xf>
    <xf numFmtId="0" fontId="10" fillId="0" borderId="14" xfId="0" applyFont="1" applyFill="1" applyBorder="1" applyAlignment="1" applyProtection="1">
      <alignment horizontal="center" vertical="center" textRotation="90" wrapText="1"/>
    </xf>
    <xf numFmtId="0" fontId="107" fillId="0" borderId="7" xfId="0" applyFont="1" applyBorder="1" applyAlignment="1">
      <alignment horizontal="center" vertical="center" wrapText="1"/>
    </xf>
    <xf numFmtId="0" fontId="4" fillId="0" borderId="42" xfId="0" applyFont="1" applyFill="1" applyBorder="1" applyAlignment="1" applyProtection="1">
      <alignment horizontal="center" vertical="center" textRotation="90" wrapText="1"/>
    </xf>
    <xf numFmtId="0" fontId="128" fillId="0" borderId="0" xfId="0" applyFont="1" applyFill="1" applyBorder="1" applyAlignment="1" applyProtection="1">
      <alignment horizontal="left" vertical="center" wrapText="1"/>
    </xf>
    <xf numFmtId="0" fontId="0" fillId="8" borderId="0" xfId="0" applyFill="1" applyAlignment="1">
      <alignment horizontal="left" vertical="top" wrapText="1"/>
    </xf>
    <xf numFmtId="0" fontId="10" fillId="0" borderId="13" xfId="0" applyFont="1" applyFill="1" applyBorder="1" applyAlignment="1" applyProtection="1">
      <alignment horizontal="center" vertical="center" textRotation="90"/>
    </xf>
    <xf numFmtId="0" fontId="10" fillId="0" borderId="50" xfId="0" applyFont="1" applyFill="1" applyBorder="1" applyAlignment="1" applyProtection="1">
      <alignment horizontal="center" vertical="center" textRotation="90"/>
    </xf>
    <xf numFmtId="0" fontId="10" fillId="0" borderId="16" xfId="0" applyFont="1" applyFill="1" applyBorder="1" applyAlignment="1" applyProtection="1">
      <alignment horizontal="center" vertical="center" textRotation="90"/>
    </xf>
    <xf numFmtId="0" fontId="10" fillId="0" borderId="42" xfId="0" applyFont="1" applyFill="1" applyBorder="1" applyAlignment="1" applyProtection="1">
      <alignment horizontal="center" vertical="center" textRotation="90"/>
    </xf>
    <xf numFmtId="0" fontId="10" fillId="0" borderId="44" xfId="0" applyFont="1" applyFill="1" applyBorder="1" applyAlignment="1" applyProtection="1">
      <alignment horizontal="center" vertical="center" textRotation="90"/>
    </xf>
    <xf numFmtId="0" fontId="10" fillId="0" borderId="14" xfId="0" applyFont="1" applyFill="1" applyBorder="1" applyAlignment="1" applyProtection="1">
      <alignment horizontal="center" vertical="center" textRotation="90"/>
    </xf>
    <xf numFmtId="0" fontId="4" fillId="0" borderId="0" xfId="0" applyFont="1" applyAlignment="1">
      <alignment horizontal="left" vertical="center" wrapText="1"/>
    </xf>
    <xf numFmtId="0" fontId="12" fillId="2" borderId="26" xfId="0" applyFont="1" applyFill="1" applyBorder="1" applyAlignment="1" applyProtection="1">
      <alignment horizontal="center" vertical="center" wrapText="1"/>
      <protection locked="0"/>
    </xf>
    <xf numFmtId="38" fontId="4" fillId="0" borderId="0" xfId="0" applyNumberFormat="1" applyFont="1" applyFill="1" applyBorder="1" applyAlignment="1" applyProtection="1">
      <alignment horizontal="center" vertical="center"/>
    </xf>
    <xf numFmtId="0" fontId="0" fillId="0" borderId="0" xfId="0" applyBorder="1" applyAlignment="1" applyProtection="1">
      <alignment horizontal="center" vertical="center"/>
    </xf>
    <xf numFmtId="0" fontId="2" fillId="0" borderId="0" xfId="0" applyFont="1" applyBorder="1" applyAlignment="1" applyProtection="1">
      <alignment horizontal="left"/>
    </xf>
    <xf numFmtId="49" fontId="12" fillId="2" borderId="26" xfId="0" applyNumberFormat="1" applyFont="1" applyFill="1" applyBorder="1" applyAlignment="1" applyProtection="1">
      <alignment horizontal="center" vertical="center"/>
      <protection locked="0"/>
    </xf>
    <xf numFmtId="49" fontId="12" fillId="2" borderId="36" xfId="0" applyNumberFormat="1" applyFont="1" applyFill="1" applyBorder="1" applyAlignment="1" applyProtection="1">
      <alignment horizontal="center" vertical="center"/>
      <protection locked="0"/>
    </xf>
    <xf numFmtId="0" fontId="12" fillId="2" borderId="0" xfId="0" applyFont="1" applyFill="1" applyBorder="1" applyAlignment="1" applyProtection="1">
      <alignment horizontal="left" vertical="top" wrapText="1"/>
      <protection locked="0"/>
    </xf>
    <xf numFmtId="0" fontId="12" fillId="2" borderId="26" xfId="0" applyFont="1" applyFill="1" applyBorder="1" applyAlignment="1" applyProtection="1">
      <alignment horizontal="left" vertical="top" wrapText="1"/>
      <protection locked="0"/>
    </xf>
    <xf numFmtId="0" fontId="12" fillId="2" borderId="8" xfId="0" applyFont="1" applyFill="1" applyBorder="1" applyAlignment="1" applyProtection="1">
      <alignment horizontal="left" vertical="center"/>
      <protection locked="0"/>
    </xf>
    <xf numFmtId="0" fontId="91" fillId="0" borderId="0" xfId="0" applyFont="1" applyBorder="1" applyAlignment="1" applyProtection="1">
      <alignment horizontal="left" vertical="top" wrapText="1"/>
    </xf>
    <xf numFmtId="0" fontId="12" fillId="2" borderId="1" xfId="0" applyFont="1" applyFill="1" applyBorder="1" applyAlignment="1" applyProtection="1">
      <alignment horizontal="left" vertical="center"/>
      <protection locked="0"/>
    </xf>
    <xf numFmtId="0" fontId="0" fillId="0" borderId="0" xfId="0" applyAlignment="1">
      <alignment horizontal="center" vertical="top" wrapText="1"/>
    </xf>
    <xf numFmtId="0" fontId="12" fillId="2" borderId="8" xfId="0" applyFont="1" applyFill="1" applyBorder="1" applyAlignment="1" applyProtection="1">
      <alignment horizontal="left" vertical="top" wrapText="1"/>
      <protection locked="0"/>
    </xf>
    <xf numFmtId="0" fontId="12" fillId="2" borderId="28" xfId="0" applyFont="1" applyFill="1" applyBorder="1" applyAlignment="1" applyProtection="1">
      <alignment horizontal="left" vertical="center"/>
      <protection locked="0"/>
    </xf>
    <xf numFmtId="0" fontId="12" fillId="8" borderId="11" xfId="0" applyFont="1" applyFill="1" applyBorder="1" applyAlignment="1" applyProtection="1">
      <alignment horizontal="center" vertical="center"/>
    </xf>
    <xf numFmtId="0" fontId="12" fillId="8" borderId="15" xfId="0" applyFont="1" applyFill="1" applyBorder="1" applyAlignment="1" applyProtection="1">
      <alignment horizontal="center" vertical="center"/>
    </xf>
    <xf numFmtId="0" fontId="12" fillId="8" borderId="12" xfId="0" applyFont="1" applyFill="1" applyBorder="1" applyAlignment="1" applyProtection="1">
      <alignment horizontal="center" vertical="center"/>
    </xf>
    <xf numFmtId="0" fontId="0" fillId="0" borderId="0" xfId="0" applyAlignment="1" applyProtection="1">
      <alignment horizontal="left" wrapText="1"/>
    </xf>
    <xf numFmtId="0" fontId="0" fillId="0" borderId="0" xfId="0" applyBorder="1" applyAlignment="1" applyProtection="1">
      <alignment horizontal="left"/>
    </xf>
    <xf numFmtId="9" fontId="12" fillId="2" borderId="147" xfId="4" applyFont="1" applyFill="1" applyBorder="1" applyAlignment="1" applyProtection="1">
      <alignment horizontal="center" vertical="center"/>
      <protection locked="0"/>
    </xf>
    <xf numFmtId="9" fontId="12" fillId="2" borderId="148" xfId="4" applyFont="1" applyFill="1" applyBorder="1" applyAlignment="1" applyProtection="1">
      <alignment horizontal="center" vertical="center"/>
      <protection locked="0"/>
    </xf>
    <xf numFmtId="9" fontId="12" fillId="2" borderId="149" xfId="4" applyFont="1" applyFill="1" applyBorder="1" applyAlignment="1" applyProtection="1">
      <alignment horizontal="center" vertical="center"/>
      <protection locked="0"/>
    </xf>
    <xf numFmtId="9" fontId="12" fillId="2" borderId="150" xfId="4" applyFont="1" applyFill="1" applyBorder="1" applyAlignment="1" applyProtection="1">
      <alignment horizontal="center" vertical="center"/>
      <protection locked="0"/>
    </xf>
    <xf numFmtId="9" fontId="12" fillId="2" borderId="145" xfId="4" applyNumberFormat="1" applyFont="1" applyFill="1" applyBorder="1" applyAlignment="1" applyProtection="1">
      <alignment horizontal="center" vertical="center"/>
      <protection locked="0"/>
    </xf>
    <xf numFmtId="9" fontId="12" fillId="2" borderId="146" xfId="4" applyNumberFormat="1" applyFont="1" applyFill="1" applyBorder="1" applyAlignment="1" applyProtection="1">
      <alignment horizontal="center" vertical="center"/>
      <protection locked="0"/>
    </xf>
    <xf numFmtId="9" fontId="4" fillId="0" borderId="62" xfId="4" applyFont="1" applyFill="1" applyBorder="1" applyAlignment="1" applyProtection="1">
      <alignment horizontal="center" vertical="center"/>
    </xf>
    <xf numFmtId="9" fontId="4" fillId="0" borderId="63" xfId="4" applyFont="1" applyFill="1" applyBorder="1" applyAlignment="1" applyProtection="1">
      <alignment horizontal="center" vertical="center"/>
    </xf>
    <xf numFmtId="9" fontId="4" fillId="0" borderId="81" xfId="4" applyFont="1" applyFill="1" applyBorder="1" applyAlignment="1" applyProtection="1">
      <alignment horizontal="center" vertical="center"/>
    </xf>
    <xf numFmtId="9" fontId="4" fillId="0" borderId="82" xfId="4" applyFont="1" applyFill="1" applyBorder="1" applyAlignment="1" applyProtection="1">
      <alignment horizontal="center" vertical="center"/>
    </xf>
    <xf numFmtId="9" fontId="0" fillId="0" borderId="119" xfId="4" applyFont="1" applyBorder="1" applyAlignment="1">
      <alignment horizontal="center" vertical="center"/>
    </xf>
    <xf numFmtId="9" fontId="0" fillId="0" borderId="120" xfId="4" applyFont="1" applyBorder="1" applyAlignment="1">
      <alignment horizontal="center" vertical="center"/>
    </xf>
    <xf numFmtId="9" fontId="0" fillId="0" borderId="44" xfId="4" applyFont="1" applyBorder="1" applyAlignment="1">
      <alignment horizontal="center" vertical="center"/>
    </xf>
    <xf numFmtId="9" fontId="0" fillId="0" borderId="28" xfId="4" applyFont="1" applyBorder="1" applyAlignment="1">
      <alignment horizontal="center" vertical="center"/>
    </xf>
    <xf numFmtId="164" fontId="0" fillId="0" borderId="91" xfId="0" applyNumberFormat="1" applyFill="1" applyBorder="1" applyAlignment="1">
      <alignment horizontal="center" vertical="center"/>
    </xf>
    <xf numFmtId="164" fontId="0" fillId="0" borderId="92" xfId="0" applyNumberFormat="1" applyFill="1" applyBorder="1" applyAlignment="1">
      <alignment horizontal="center" vertical="center"/>
    </xf>
    <xf numFmtId="9" fontId="0" fillId="0" borderId="91" xfId="4" applyFont="1" applyFill="1" applyBorder="1" applyAlignment="1" applyProtection="1">
      <alignment horizontal="center" vertical="center"/>
    </xf>
    <xf numFmtId="9" fontId="0" fillId="0" borderId="93" xfId="4" applyFont="1" applyFill="1" applyBorder="1" applyAlignment="1" applyProtection="1">
      <alignment horizontal="center" vertical="center"/>
    </xf>
    <xf numFmtId="0" fontId="4" fillId="8" borderId="0" xfId="0" applyFont="1" applyFill="1" applyAlignment="1">
      <alignment horizontal="left" vertical="center" wrapText="1"/>
    </xf>
    <xf numFmtId="9" fontId="0" fillId="0" borderId="105" xfId="4" applyFont="1" applyBorder="1" applyAlignment="1" applyProtection="1">
      <alignment horizontal="center" vertical="center" wrapText="1"/>
    </xf>
    <xf numFmtId="9" fontId="0" fillId="0" borderId="40" xfId="4" applyFont="1" applyBorder="1" applyAlignment="1" applyProtection="1">
      <alignment horizontal="center" vertical="center" wrapText="1"/>
    </xf>
    <xf numFmtId="0" fontId="0" fillId="0" borderId="107" xfId="0" applyBorder="1" applyAlignment="1" applyProtection="1">
      <alignment horizontal="center" wrapText="1"/>
    </xf>
    <xf numFmtId="0" fontId="0" fillId="0" borderId="108" xfId="0" applyBorder="1" applyAlignment="1" applyProtection="1">
      <alignment horizontal="center" wrapText="1"/>
    </xf>
    <xf numFmtId="9" fontId="12" fillId="2" borderId="147" xfId="4" applyNumberFormat="1" applyFont="1" applyFill="1" applyBorder="1" applyAlignment="1" applyProtection="1">
      <alignment horizontal="center" vertical="center"/>
      <protection locked="0"/>
    </xf>
    <xf numFmtId="9" fontId="12" fillId="2" borderId="148" xfId="4" applyNumberFormat="1" applyFont="1" applyFill="1" applyBorder="1" applyAlignment="1" applyProtection="1">
      <alignment horizontal="center" vertical="center"/>
      <protection locked="0"/>
    </xf>
    <xf numFmtId="9" fontId="0" fillId="0" borderId="105" xfId="4" applyFont="1" applyFill="1" applyBorder="1" applyAlignment="1" applyProtection="1">
      <alignment horizontal="center" vertical="center" wrapText="1"/>
    </xf>
    <xf numFmtId="9" fontId="0" fillId="0" borderId="40" xfId="4" applyFont="1" applyFill="1" applyBorder="1" applyAlignment="1" applyProtection="1">
      <alignment horizontal="center" vertical="center" wrapText="1"/>
    </xf>
    <xf numFmtId="9" fontId="0" fillId="0" borderId="43" xfId="4" applyFont="1" applyFill="1" applyBorder="1" applyAlignment="1" applyProtection="1">
      <alignment horizontal="center" vertical="center" wrapText="1"/>
    </xf>
    <xf numFmtId="0" fontId="0" fillId="0" borderId="0" xfId="4" applyNumberFormat="1" applyFont="1" applyAlignment="1">
      <alignment horizontal="left" vertical="top" wrapText="1"/>
    </xf>
    <xf numFmtId="164" fontId="0" fillId="0" borderId="16"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9" fontId="4" fillId="0" borderId="119" xfId="4" applyFont="1" applyFill="1" applyBorder="1" applyAlignment="1" applyProtection="1">
      <alignment horizontal="center" vertical="center"/>
    </xf>
    <xf numFmtId="9" fontId="4" fillId="0" borderId="120" xfId="4" applyFont="1" applyFill="1" applyBorder="1" applyAlignment="1" applyProtection="1">
      <alignment horizontal="center" vertical="center"/>
    </xf>
    <xf numFmtId="0" fontId="0" fillId="8" borderId="0" xfId="0" applyFill="1" applyBorder="1" applyAlignment="1" applyProtection="1">
      <alignment horizontal="left" vertical="top" wrapText="1"/>
    </xf>
    <xf numFmtId="164" fontId="0" fillId="0" borderId="62" xfId="4" applyNumberFormat="1" applyFont="1" applyBorder="1" applyAlignment="1" applyProtection="1">
      <alignment horizontal="center" vertical="center"/>
    </xf>
    <xf numFmtId="164" fontId="0" fillId="0" borderId="63" xfId="4" applyNumberFormat="1" applyFont="1" applyBorder="1" applyAlignment="1" applyProtection="1">
      <alignment horizontal="center" vertical="center"/>
    </xf>
    <xf numFmtId="9" fontId="4" fillId="0" borderId="38" xfId="4" applyFont="1" applyFill="1" applyBorder="1" applyAlignment="1" applyProtection="1">
      <alignment horizontal="center" vertical="center"/>
    </xf>
    <xf numFmtId="9" fontId="4" fillId="0" borderId="39" xfId="4" applyFont="1" applyFill="1" applyBorder="1" applyAlignment="1" applyProtection="1">
      <alignment horizontal="center" vertical="center"/>
    </xf>
    <xf numFmtId="0" fontId="12" fillId="2" borderId="26" xfId="0" applyFont="1" applyFill="1" applyBorder="1" applyAlignment="1" applyProtection="1">
      <alignment horizontal="left" vertical="center" wrapText="1"/>
    </xf>
    <xf numFmtId="0" fontId="12" fillId="2" borderId="28" xfId="0" applyFont="1" applyFill="1" applyBorder="1" applyAlignment="1" applyProtection="1">
      <alignment horizontal="left" vertical="center" wrapText="1"/>
      <protection locked="0"/>
    </xf>
    <xf numFmtId="164" fontId="0" fillId="0" borderId="114" xfId="4" applyNumberFormat="1" applyFont="1" applyBorder="1" applyAlignment="1" applyProtection="1">
      <alignment horizontal="center" vertical="center"/>
    </xf>
    <xf numFmtId="164" fontId="0" fillId="0" borderId="115" xfId="4" applyNumberFormat="1" applyFont="1" applyBorder="1" applyAlignment="1" applyProtection="1">
      <alignment horizontal="center" vertical="center"/>
    </xf>
    <xf numFmtId="0" fontId="2" fillId="0" borderId="11"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0" fillId="0" borderId="21" xfId="0" applyFont="1" applyBorder="1" applyAlignment="1" applyProtection="1">
      <alignment horizontal="left" vertical="center" wrapText="1"/>
    </xf>
    <xf numFmtId="0" fontId="12" fillId="2" borderId="157" xfId="0" applyFont="1" applyFill="1" applyBorder="1" applyAlignment="1" applyProtection="1">
      <alignment horizontal="center" vertical="center" wrapText="1"/>
      <protection locked="0"/>
    </xf>
    <xf numFmtId="0" fontId="0" fillId="0" borderId="7" xfId="0" applyFont="1" applyBorder="1" applyAlignment="1" applyProtection="1">
      <alignment horizontal="left" vertical="center" wrapText="1"/>
    </xf>
    <xf numFmtId="0" fontId="0" fillId="0" borderId="20" xfId="0" applyFont="1" applyBorder="1" applyAlignment="1" applyProtection="1">
      <alignment horizontal="left" vertical="center" wrapText="1"/>
    </xf>
    <xf numFmtId="0" fontId="2" fillId="0" borderId="0" xfId="0" applyFont="1" applyBorder="1" applyAlignment="1" applyProtection="1">
      <alignment horizontal="left" vertical="top"/>
    </xf>
    <xf numFmtId="0" fontId="0" fillId="0" borderId="22" xfId="0" applyFont="1" applyBorder="1" applyAlignment="1" applyProtection="1">
      <alignment horizontal="left" vertical="center" wrapText="1"/>
    </xf>
    <xf numFmtId="0" fontId="12" fillId="2" borderId="154" xfId="0" applyFont="1" applyFill="1" applyBorder="1" applyAlignment="1" applyProtection="1">
      <alignment horizontal="center" vertical="center" wrapText="1"/>
      <protection locked="0"/>
    </xf>
    <xf numFmtId="0" fontId="12" fillId="2" borderId="155" xfId="0" applyFont="1" applyFill="1" applyBorder="1" applyAlignment="1" applyProtection="1">
      <alignment horizontal="center" vertical="center" wrapText="1"/>
      <protection locked="0"/>
    </xf>
    <xf numFmtId="0" fontId="12" fillId="2" borderId="143" xfId="0" applyFont="1" applyFill="1" applyBorder="1" applyAlignment="1" applyProtection="1">
      <alignment horizontal="center" vertical="center" wrapText="1"/>
      <protection locked="0"/>
    </xf>
    <xf numFmtId="0" fontId="12" fillId="2" borderId="156" xfId="0" applyFont="1" applyFill="1" applyBorder="1" applyAlignment="1" applyProtection="1">
      <alignment horizontal="center" vertical="center" wrapText="1"/>
      <protection locked="0"/>
    </xf>
    <xf numFmtId="0" fontId="12" fillId="2" borderId="158" xfId="0" applyFont="1" applyFill="1" applyBorder="1" applyAlignment="1" applyProtection="1">
      <alignment horizontal="center" vertical="center" wrapText="1"/>
      <protection locked="0"/>
    </xf>
    <xf numFmtId="0" fontId="10" fillId="0" borderId="44" xfId="0" applyFont="1" applyFill="1" applyBorder="1" applyAlignment="1" applyProtection="1">
      <alignment horizontal="center" vertical="center" wrapText="1"/>
    </xf>
    <xf numFmtId="0" fontId="10" fillId="0" borderId="14" xfId="0" applyFont="1" applyFill="1" applyBorder="1" applyAlignment="1" applyProtection="1">
      <alignment horizontal="center" vertical="center" wrapText="1"/>
    </xf>
    <xf numFmtId="0" fontId="0" fillId="0" borderId="0" xfId="0" applyBorder="1" applyAlignment="1" applyProtection="1">
      <alignment vertical="center" wrapText="1"/>
    </xf>
    <xf numFmtId="0" fontId="0" fillId="0" borderId="16" xfId="0" applyBorder="1" applyAlignment="1" applyProtection="1">
      <alignment horizontal="left" vertical="center" wrapText="1"/>
    </xf>
    <xf numFmtId="38" fontId="4" fillId="0" borderId="11" xfId="0" applyNumberFormat="1" applyFont="1" applyFill="1" applyBorder="1" applyAlignment="1" applyProtection="1">
      <alignment horizontal="center" vertical="center"/>
    </xf>
    <xf numFmtId="0" fontId="4" fillId="0" borderId="15" xfId="0" applyFont="1" applyFill="1" applyBorder="1" applyAlignment="1" applyProtection="1">
      <alignment horizontal="center" vertical="center"/>
    </xf>
    <xf numFmtId="0" fontId="4" fillId="0" borderId="12" xfId="0" applyFont="1" applyFill="1" applyBorder="1" applyAlignment="1" applyProtection="1">
      <alignment horizontal="center" vertical="center"/>
    </xf>
    <xf numFmtId="0" fontId="0" fillId="0" borderId="0" xfId="0" applyBorder="1" applyAlignment="1" applyProtection="1">
      <alignment horizontal="center" wrapText="1"/>
    </xf>
    <xf numFmtId="0" fontId="0" fillId="0" borderId="28" xfId="0" applyBorder="1" applyAlignment="1" applyProtection="1">
      <alignment horizontal="center" wrapText="1"/>
    </xf>
    <xf numFmtId="9" fontId="12" fillId="16" borderId="71" xfId="4" applyNumberFormat="1" applyFont="1" applyFill="1" applyBorder="1" applyAlignment="1" applyProtection="1">
      <alignment horizontal="center" vertical="center"/>
    </xf>
    <xf numFmtId="9" fontId="12" fillId="16" borderId="72" xfId="4" applyNumberFormat="1" applyFont="1" applyFill="1" applyBorder="1" applyAlignment="1" applyProtection="1">
      <alignment horizontal="center" vertical="center"/>
    </xf>
    <xf numFmtId="9" fontId="12" fillId="16" borderId="62" xfId="4" applyNumberFormat="1" applyFont="1" applyFill="1" applyBorder="1" applyAlignment="1" applyProtection="1">
      <alignment horizontal="center" vertical="center"/>
    </xf>
    <xf numFmtId="9" fontId="12" fillId="16" borderId="63" xfId="4" applyNumberFormat="1" applyFont="1" applyFill="1" applyBorder="1" applyAlignment="1" applyProtection="1">
      <alignment horizontal="center" vertical="center"/>
    </xf>
    <xf numFmtId="9" fontId="12" fillId="16" borderId="62" xfId="4" applyFont="1" applyFill="1" applyBorder="1" applyAlignment="1" applyProtection="1">
      <alignment horizontal="center" vertical="center"/>
    </xf>
    <xf numFmtId="9" fontId="12" fillId="16" borderId="63" xfId="4" applyFont="1" applyFill="1" applyBorder="1" applyAlignment="1" applyProtection="1">
      <alignment horizontal="center" vertical="center"/>
    </xf>
    <xf numFmtId="9" fontId="0" fillId="0" borderId="107" xfId="4" applyFont="1" applyFill="1" applyBorder="1" applyAlignment="1" applyProtection="1">
      <alignment horizontal="center" vertical="center"/>
    </xf>
    <xf numFmtId="9" fontId="0" fillId="0" borderId="108" xfId="4" applyFont="1" applyFill="1" applyBorder="1" applyAlignment="1" applyProtection="1">
      <alignment horizontal="center" vertical="center"/>
    </xf>
    <xf numFmtId="164" fontId="0" fillId="0" borderId="38" xfId="4" applyNumberFormat="1" applyFont="1" applyBorder="1" applyAlignment="1" applyProtection="1">
      <alignment horizontal="center" vertical="center"/>
    </xf>
    <xf numFmtId="164" fontId="0" fillId="0" borderId="39" xfId="4" applyNumberFormat="1"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2" fillId="0" borderId="50" xfId="0" applyFont="1" applyBorder="1" applyAlignment="1" applyProtection="1">
      <alignment horizontal="center" vertical="center" wrapText="1"/>
    </xf>
    <xf numFmtId="0" fontId="2" fillId="0" borderId="44"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164" fontId="0" fillId="0" borderId="71" xfId="4" applyNumberFormat="1" applyFont="1" applyBorder="1" applyAlignment="1" applyProtection="1">
      <alignment horizontal="center" vertical="center"/>
    </xf>
    <xf numFmtId="164" fontId="0" fillId="0" borderId="72" xfId="4" applyNumberFormat="1" applyFont="1" applyBorder="1" applyAlignment="1" applyProtection="1">
      <alignment horizontal="center" vertical="center"/>
    </xf>
    <xf numFmtId="0" fontId="0" fillId="0" borderId="16" xfId="0" applyBorder="1" applyAlignment="1" applyProtection="1">
      <alignment horizontal="left" vertical="top" wrapText="1"/>
    </xf>
    <xf numFmtId="0" fontId="2" fillId="0" borderId="5"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0" fontId="0" fillId="0" borderId="16" xfId="0" applyFill="1" applyBorder="1" applyAlignment="1" applyProtection="1">
      <alignment horizontal="left" vertical="top" wrapText="1"/>
    </xf>
    <xf numFmtId="0" fontId="0" fillId="0" borderId="0" xfId="0" applyFill="1" applyBorder="1" applyAlignment="1" applyProtection="1">
      <alignment horizontal="left" vertical="top" wrapText="1"/>
    </xf>
    <xf numFmtId="0" fontId="0" fillId="0" borderId="0" xfId="0" quotePrefix="1" applyBorder="1" applyAlignment="1" applyProtection="1">
      <alignment horizontal="left" vertical="top" wrapText="1"/>
    </xf>
    <xf numFmtId="9" fontId="4" fillId="0" borderId="16" xfId="4" applyFont="1" applyFill="1" applyBorder="1" applyAlignment="1" applyProtection="1">
      <alignment horizontal="center" vertical="center"/>
    </xf>
    <xf numFmtId="9" fontId="4" fillId="0" borderId="42" xfId="4" applyFont="1" applyFill="1" applyBorder="1" applyAlignment="1" applyProtection="1">
      <alignment horizontal="center" vertical="center"/>
    </xf>
    <xf numFmtId="164" fontId="0" fillId="0" borderId="81" xfId="4" applyNumberFormat="1" applyFont="1" applyBorder="1" applyAlignment="1" applyProtection="1">
      <alignment horizontal="center" vertical="center"/>
    </xf>
    <xf numFmtId="164" fontId="0" fillId="0" borderId="82" xfId="4" applyNumberFormat="1" applyFont="1" applyBorder="1" applyAlignment="1" applyProtection="1">
      <alignment horizontal="center" vertical="center"/>
    </xf>
    <xf numFmtId="38" fontId="0" fillId="0" borderId="105" xfId="4" applyNumberFormat="1" applyFont="1" applyBorder="1" applyAlignment="1">
      <alignment horizontal="center" vertical="center" wrapText="1"/>
    </xf>
    <xf numFmtId="38" fontId="0" fillId="0" borderId="40" xfId="4" applyNumberFormat="1" applyFont="1" applyBorder="1" applyAlignment="1">
      <alignment horizontal="center" vertical="center" wrapText="1"/>
    </xf>
    <xf numFmtId="0" fontId="8" fillId="0" borderId="0" xfId="0" applyFont="1" applyBorder="1" applyAlignment="1" applyProtection="1">
      <alignment horizontal="left" vertical="top"/>
    </xf>
    <xf numFmtId="0" fontId="0" fillId="0" borderId="0" xfId="0" applyFont="1" applyBorder="1" applyAlignment="1" applyProtection="1">
      <alignment horizontal="left" vertical="top"/>
    </xf>
    <xf numFmtId="0" fontId="8" fillId="0" borderId="0" xfId="0" applyFont="1" applyBorder="1" applyAlignment="1" applyProtection="1">
      <alignment horizontal="left" vertical="top" wrapText="1"/>
    </xf>
    <xf numFmtId="0" fontId="0" fillId="0" borderId="128" xfId="0" applyBorder="1" applyAlignment="1">
      <alignment horizontal="left" vertical="top" wrapText="1"/>
    </xf>
    <xf numFmtId="0" fontId="0" fillId="0" borderId="0" xfId="0" applyBorder="1" applyAlignment="1">
      <alignment horizontal="left" vertical="top" wrapText="1"/>
    </xf>
    <xf numFmtId="0" fontId="4" fillId="0" borderId="0" xfId="0" applyFont="1" applyAlignment="1" applyProtection="1">
      <alignment horizontal="center" vertical="top" wrapText="1"/>
    </xf>
    <xf numFmtId="0" fontId="0" fillId="0" borderId="0" xfId="0" applyAlignment="1">
      <alignment horizontal="right" vertical="center"/>
    </xf>
    <xf numFmtId="0" fontId="0" fillId="0" borderId="97" xfId="0" applyBorder="1" applyAlignment="1">
      <alignment horizontal="left" vertical="top" wrapText="1"/>
    </xf>
    <xf numFmtId="0" fontId="2" fillId="0" borderId="0" xfId="0" applyFont="1" applyBorder="1" applyAlignment="1" applyProtection="1">
      <alignment horizontal="left" wrapText="1"/>
    </xf>
    <xf numFmtId="0" fontId="2" fillId="0" borderId="0" xfId="0" applyFont="1" applyBorder="1" applyAlignment="1" applyProtection="1">
      <alignment horizontal="left" vertical="center" wrapText="1"/>
    </xf>
    <xf numFmtId="0" fontId="4" fillId="0" borderId="8" xfId="0" quotePrefix="1" applyFont="1" applyFill="1" applyBorder="1" applyAlignment="1" applyProtection="1">
      <alignment horizontal="left" vertical="center"/>
    </xf>
    <xf numFmtId="0" fontId="4" fillId="0" borderId="8" xfId="0" applyFont="1" applyFill="1" applyBorder="1" applyAlignment="1" applyProtection="1">
      <alignment horizontal="left" vertical="center"/>
    </xf>
    <xf numFmtId="0" fontId="12" fillId="2" borderId="0" xfId="0" applyFont="1" applyFill="1" applyBorder="1" applyAlignment="1" applyProtection="1">
      <alignment horizontal="left" vertical="center"/>
      <protection locked="0"/>
    </xf>
    <xf numFmtId="0" fontId="4" fillId="0" borderId="28" xfId="0" applyFont="1" applyFill="1" applyBorder="1" applyAlignment="1" applyProtection="1">
      <alignment horizontal="left" vertical="center"/>
    </xf>
    <xf numFmtId="0" fontId="98" fillId="15" borderId="0" xfId="0" quotePrefix="1" applyFont="1" applyFill="1" applyBorder="1" applyAlignment="1" applyProtection="1">
      <alignment horizontal="left" vertical="center" wrapText="1"/>
    </xf>
    <xf numFmtId="0" fontId="98" fillId="15"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26" fillId="0" borderId="0" xfId="0" applyFont="1" applyAlignment="1">
      <alignment horizontal="left" vertical="top" wrapText="1"/>
    </xf>
    <xf numFmtId="0" fontId="26" fillId="0" borderId="0" xfId="0" quotePrefix="1" applyFont="1" applyAlignment="1">
      <alignment horizontal="left" vertical="top" wrapText="1"/>
    </xf>
    <xf numFmtId="0" fontId="0" fillId="0" borderId="0" xfId="0" applyBorder="1" applyAlignment="1" applyProtection="1">
      <alignment horizontal="right" vertical="center" wrapText="1"/>
    </xf>
    <xf numFmtId="0" fontId="0" fillId="0" borderId="17" xfId="0" applyBorder="1" applyAlignment="1" applyProtection="1">
      <alignment horizontal="left"/>
    </xf>
    <xf numFmtId="0" fontId="0" fillId="0" borderId="17" xfId="0" applyBorder="1" applyAlignment="1" applyProtection="1">
      <alignment vertical="top"/>
    </xf>
    <xf numFmtId="0" fontId="0" fillId="0" borderId="0" xfId="0" applyBorder="1" applyAlignment="1" applyProtection="1">
      <alignment vertical="center"/>
    </xf>
    <xf numFmtId="0" fontId="0" fillId="0" borderId="0" xfId="0" applyAlignment="1">
      <alignment vertical="top"/>
    </xf>
    <xf numFmtId="49" fontId="12" fillId="2" borderId="8" xfId="0" applyNumberFormat="1" applyFont="1" applyFill="1" applyBorder="1" applyAlignment="1" applyProtection="1">
      <alignment horizontal="left" vertical="center"/>
      <protection locked="0"/>
    </xf>
    <xf numFmtId="0" fontId="0" fillId="0" borderId="17" xfId="0" applyBorder="1" applyAlignment="1" applyProtection="1">
      <alignment horizontal="left" vertical="center"/>
    </xf>
    <xf numFmtId="0" fontId="145" fillId="0" borderId="0" xfId="0" applyFont="1" applyBorder="1" applyAlignment="1" applyProtection="1">
      <alignment horizontal="right" wrapText="1"/>
    </xf>
    <xf numFmtId="0" fontId="11" fillId="0" borderId="0" xfId="0" applyFont="1" applyBorder="1" applyAlignment="1" applyProtection="1">
      <alignment horizontal="right" wrapText="1"/>
    </xf>
    <xf numFmtId="0" fontId="0" fillId="0" borderId="0" xfId="0" applyBorder="1" applyAlignment="1" applyProtection="1">
      <alignment vertical="top"/>
    </xf>
    <xf numFmtId="0" fontId="91" fillId="0" borderId="16" xfId="0" applyFont="1" applyBorder="1" applyAlignment="1" applyProtection="1">
      <alignment horizontal="left" vertical="top" wrapText="1"/>
    </xf>
    <xf numFmtId="0" fontId="4" fillId="0" borderId="5" xfId="0" applyFont="1" applyFill="1" applyBorder="1" applyAlignment="1" applyProtection="1">
      <alignment horizontal="center" vertical="top" wrapText="1"/>
    </xf>
    <xf numFmtId="0" fontId="4" fillId="0" borderId="6" xfId="0" applyFont="1" applyFill="1" applyBorder="1" applyAlignment="1" applyProtection="1">
      <alignment horizontal="center" vertical="top" wrapText="1"/>
    </xf>
    <xf numFmtId="0" fontId="4" fillId="0" borderId="5" xfId="0" applyFont="1" applyFill="1" applyBorder="1" applyAlignment="1" applyProtection="1">
      <alignment horizontal="left" vertical="center" indent="2"/>
    </xf>
    <xf numFmtId="0" fontId="4" fillId="0" borderId="6" xfId="0" applyFont="1" applyFill="1" applyBorder="1" applyAlignment="1" applyProtection="1">
      <alignment horizontal="left" vertical="center" indent="2"/>
    </xf>
    <xf numFmtId="0" fontId="12" fillId="2" borderId="36" xfId="0" applyFont="1" applyFill="1" applyBorder="1" applyAlignment="1" applyProtection="1">
      <alignment horizontal="left" vertical="center"/>
      <protection locked="0"/>
    </xf>
    <xf numFmtId="0" fontId="6" fillId="0" borderId="0" xfId="0" applyFont="1" applyAlignment="1">
      <alignment horizontal="left" vertical="center" wrapText="1"/>
    </xf>
    <xf numFmtId="0" fontId="99" fillId="15" borderId="0" xfId="0" quotePrefix="1" applyFont="1" applyFill="1" applyBorder="1" applyAlignment="1" applyProtection="1">
      <alignment horizontal="left" vertical="center" wrapText="1"/>
    </xf>
    <xf numFmtId="0" fontId="99" fillId="15" borderId="0" xfId="0" applyFont="1" applyFill="1" applyBorder="1" applyAlignment="1" applyProtection="1">
      <alignment horizontal="left" vertical="center" wrapText="1"/>
    </xf>
    <xf numFmtId="0" fontId="0" fillId="0" borderId="0" xfId="0" quotePrefix="1" applyBorder="1" applyAlignment="1" applyProtection="1">
      <alignment vertical="top" wrapText="1"/>
    </xf>
    <xf numFmtId="0" fontId="0" fillId="0" borderId="0" xfId="0" applyAlignment="1">
      <alignment horizontal="right" vertical="center" wrapText="1"/>
    </xf>
    <xf numFmtId="0" fontId="0" fillId="0" borderId="17" xfId="0" applyBorder="1" applyAlignment="1">
      <alignment vertical="top"/>
    </xf>
    <xf numFmtId="0" fontId="0" fillId="0" borderId="0" xfId="0" applyFill="1" applyAlignment="1" applyProtection="1">
      <alignment horizontal="left" vertical="center" wrapText="1"/>
    </xf>
    <xf numFmtId="0" fontId="0" fillId="0" borderId="0" xfId="0" quotePrefix="1" applyFill="1" applyAlignment="1" applyProtection="1">
      <alignment horizontal="left" vertical="center" wrapText="1"/>
    </xf>
    <xf numFmtId="0" fontId="0" fillId="0" borderId="0" xfId="0" applyAlignment="1" applyProtection="1">
      <alignment horizontal="left" vertical="center" wrapText="1"/>
    </xf>
    <xf numFmtId="0" fontId="0" fillId="0" borderId="17" xfId="0" applyBorder="1" applyAlignment="1">
      <alignment horizontal="left" vertical="top" wrapText="1"/>
    </xf>
    <xf numFmtId="0" fontId="0" fillId="0" borderId="0" xfId="0" applyAlignment="1" applyProtection="1">
      <alignment horizontal="left" vertical="top" wrapText="1"/>
    </xf>
    <xf numFmtId="0" fontId="4" fillId="0" borderId="0" xfId="0" quotePrefix="1" applyFont="1" applyBorder="1" applyAlignment="1" applyProtection="1">
      <alignment horizontal="right" vertical="top"/>
    </xf>
    <xf numFmtId="0" fontId="0" fillId="2" borderId="26" xfId="0" applyFill="1" applyBorder="1" applyAlignment="1" applyProtection="1">
      <alignment horizontal="left" vertical="center"/>
      <protection locked="0"/>
    </xf>
    <xf numFmtId="0" fontId="12" fillId="14" borderId="62" xfId="0" applyFont="1" applyFill="1" applyBorder="1" applyAlignment="1" applyProtection="1">
      <alignment horizontal="left" vertical="center" wrapText="1"/>
      <protection locked="0"/>
    </xf>
    <xf numFmtId="0" fontId="12" fillId="14" borderId="18" xfId="0" applyFont="1" applyFill="1" applyBorder="1" applyAlignment="1" applyProtection="1">
      <alignment horizontal="left" vertical="center" wrapText="1"/>
      <protection locked="0"/>
    </xf>
    <xf numFmtId="0" fontId="0" fillId="0" borderId="0" xfId="0" quotePrefix="1" applyAlignment="1" applyProtection="1">
      <alignment horizontal="left" vertical="center" wrapText="1"/>
    </xf>
    <xf numFmtId="0" fontId="2" fillId="0" borderId="56" xfId="0" applyFont="1" applyBorder="1" applyAlignment="1" applyProtection="1">
      <alignment horizontal="left"/>
    </xf>
    <xf numFmtId="0" fontId="2" fillId="0" borderId="57" xfId="0" applyFont="1" applyBorder="1" applyAlignment="1" applyProtection="1">
      <alignment horizontal="left"/>
    </xf>
    <xf numFmtId="0" fontId="12" fillId="14" borderId="69" xfId="0" applyFont="1" applyFill="1" applyBorder="1" applyAlignment="1" applyProtection="1">
      <alignment horizontal="left" vertical="center" wrapText="1"/>
      <protection locked="0"/>
    </xf>
    <xf numFmtId="0" fontId="12" fillId="14" borderId="17" xfId="0" applyFont="1" applyFill="1" applyBorder="1" applyAlignment="1" applyProtection="1">
      <alignment horizontal="left" vertical="center" wrapText="1"/>
      <protection locked="0"/>
    </xf>
    <xf numFmtId="0" fontId="2" fillId="0" borderId="0" xfId="0" applyFont="1" applyFill="1" applyAlignment="1" applyProtection="1">
      <alignment horizontal="left" vertical="center" wrapText="1"/>
    </xf>
    <xf numFmtId="0" fontId="88" fillId="0" borderId="0" xfId="2" applyFont="1" applyAlignment="1">
      <alignment horizontal="right"/>
    </xf>
    <xf numFmtId="9" fontId="88" fillId="0" borderId="0" xfId="4" quotePrefix="1" applyFont="1" applyAlignment="1">
      <alignment horizontal="right"/>
    </xf>
    <xf numFmtId="2" fontId="148" fillId="0" borderId="18" xfId="2" applyNumberFormat="1" applyFont="1" applyFill="1" applyBorder="1" applyAlignment="1">
      <alignment horizontal="left"/>
    </xf>
    <xf numFmtId="2" fontId="148" fillId="0" borderId="18" xfId="2" quotePrefix="1" applyNumberFormat="1" applyFont="1" applyFill="1" applyBorder="1" applyAlignment="1">
      <alignment horizontal="left"/>
    </xf>
    <xf numFmtId="0" fontId="88" fillId="0" borderId="0" xfId="2" quotePrefix="1" applyFont="1" applyAlignment="1">
      <alignment horizontal="right"/>
    </xf>
    <xf numFmtId="0" fontId="77" fillId="8" borderId="18" xfId="2" applyNumberFormat="1" applyFont="1" applyFill="1" applyBorder="1" applyAlignment="1">
      <alignment horizontal="left" vertical="center" wrapText="1"/>
    </xf>
    <xf numFmtId="0" fontId="77" fillId="0" borderId="18" xfId="2" applyNumberFormat="1" applyFont="1" applyBorder="1" applyAlignment="1">
      <alignment horizontal="left" vertical="center" wrapText="1"/>
    </xf>
    <xf numFmtId="0" fontId="68" fillId="0" borderId="18" xfId="2" applyFont="1" applyBorder="1" applyAlignment="1">
      <alignment horizontal="left" vertical="center" wrapText="1"/>
    </xf>
    <xf numFmtId="0" fontId="76" fillId="0" borderId="51" xfId="2" applyFont="1" applyBorder="1" applyAlignment="1">
      <alignment horizontal="left" vertical="center" wrapText="1"/>
    </xf>
    <xf numFmtId="0" fontId="76" fillId="0" borderId="17" xfId="2" applyFont="1" applyBorder="1" applyAlignment="1">
      <alignment horizontal="left" vertical="center" wrapText="1"/>
    </xf>
    <xf numFmtId="175" fontId="7" fillId="0" borderId="28" xfId="2" applyNumberFormat="1" applyFont="1" applyFill="1" applyBorder="1" applyAlignment="1">
      <alignment horizontal="right"/>
    </xf>
    <xf numFmtId="175" fontId="7" fillId="0" borderId="1" xfId="2" applyNumberFormat="1" applyFont="1" applyFill="1" applyBorder="1" applyAlignment="1">
      <alignment horizontal="right"/>
    </xf>
    <xf numFmtId="173" fontId="7" fillId="0" borderId="16" xfId="2" applyNumberFormat="1" applyBorder="1" applyAlignment="1">
      <alignment horizontal="center" vertical="center"/>
    </xf>
    <xf numFmtId="173" fontId="7" fillId="0" borderId="0" xfId="2" applyNumberFormat="1" applyAlignment="1">
      <alignment horizontal="center" vertical="center"/>
    </xf>
    <xf numFmtId="173" fontId="7" fillId="0" borderId="0" xfId="2" applyNumberFormat="1" applyBorder="1" applyAlignment="1">
      <alignment horizontal="center" vertical="center"/>
    </xf>
    <xf numFmtId="173" fontId="7" fillId="0" borderId="42" xfId="2" applyNumberFormat="1" applyBorder="1" applyAlignment="1">
      <alignment horizontal="center" vertical="center"/>
    </xf>
    <xf numFmtId="173" fontId="82" fillId="11" borderId="91" xfId="2" applyNumberFormat="1" applyFont="1" applyFill="1" applyBorder="1" applyAlignment="1">
      <alignment horizontal="center" vertical="center" wrapText="1"/>
    </xf>
    <xf numFmtId="173" fontId="82" fillId="11" borderId="92" xfId="2" applyNumberFormat="1" applyFont="1" applyFill="1" applyBorder="1" applyAlignment="1">
      <alignment horizontal="center" vertical="center" wrapText="1"/>
    </xf>
    <xf numFmtId="0" fontId="84" fillId="0" borderId="48" xfId="2" applyFont="1" applyBorder="1" applyAlignment="1">
      <alignment horizontal="center" vertical="center"/>
    </xf>
    <xf numFmtId="0" fontId="84" fillId="0" borderId="47" xfId="2" applyFont="1" applyBorder="1" applyAlignment="1">
      <alignment horizontal="center" vertical="center"/>
    </xf>
    <xf numFmtId="0" fontId="84" fillId="0" borderId="46" xfId="2" applyFont="1" applyBorder="1" applyAlignment="1">
      <alignment horizontal="center" vertical="center"/>
    </xf>
    <xf numFmtId="0" fontId="30" fillId="0" borderId="16" xfId="2" applyFont="1" applyFill="1" applyBorder="1" applyAlignment="1" applyProtection="1">
      <alignment horizontal="center" vertical="center"/>
    </xf>
    <xf numFmtId="0" fontId="30" fillId="0" borderId="42" xfId="2" applyFont="1" applyFill="1" applyBorder="1" applyAlignment="1" applyProtection="1">
      <alignment horizontal="center" vertical="center"/>
    </xf>
    <xf numFmtId="0" fontId="7" fillId="0" borderId="23" xfId="2" applyBorder="1" applyAlignment="1">
      <alignment horizontal="right" vertical="center"/>
    </xf>
    <xf numFmtId="0" fontId="7" fillId="0" borderId="0" xfId="2" applyAlignment="1">
      <alignment horizontal="right" vertical="center"/>
    </xf>
    <xf numFmtId="0" fontId="7" fillId="0" borderId="0" xfId="2" applyBorder="1" applyAlignment="1">
      <alignment horizontal="right" vertical="center"/>
    </xf>
    <xf numFmtId="0" fontId="82" fillId="0" borderId="103" xfId="2" applyFont="1" applyBorder="1" applyAlignment="1">
      <alignment horizontal="right" vertical="center" wrapText="1"/>
    </xf>
    <xf numFmtId="0" fontId="82" fillId="0" borderId="92" xfId="2" applyFont="1" applyBorder="1" applyAlignment="1">
      <alignment horizontal="right" vertical="center" wrapText="1"/>
    </xf>
    <xf numFmtId="173" fontId="7" fillId="0" borderId="16" xfId="2" applyNumberFormat="1" applyFill="1" applyBorder="1" applyAlignment="1">
      <alignment horizontal="center" vertical="center" wrapText="1"/>
    </xf>
    <xf numFmtId="173" fontId="7" fillId="0" borderId="0" xfId="2" applyNumberFormat="1" applyFill="1" applyAlignment="1">
      <alignment horizontal="center" vertical="center" wrapText="1"/>
    </xf>
    <xf numFmtId="173" fontId="7" fillId="0" borderId="40" xfId="2" applyNumberFormat="1" applyFill="1" applyBorder="1" applyAlignment="1">
      <alignment horizontal="center" vertical="center" wrapText="1"/>
    </xf>
    <xf numFmtId="173" fontId="7" fillId="0" borderId="0" xfId="2" applyNumberFormat="1" applyFill="1" applyBorder="1" applyAlignment="1">
      <alignment horizontal="center" vertical="center" wrapText="1"/>
    </xf>
    <xf numFmtId="8" fontId="30" fillId="0" borderId="28" xfId="2" applyNumberFormat="1" applyFont="1" applyFill="1" applyBorder="1" applyAlignment="1">
      <alignment horizontal="center"/>
    </xf>
    <xf numFmtId="9" fontId="30" fillId="0" borderId="1" xfId="4" applyNumberFormat="1" applyFont="1" applyFill="1" applyBorder="1" applyAlignment="1">
      <alignment horizontal="right"/>
    </xf>
    <xf numFmtId="9" fontId="7" fillId="0" borderId="1" xfId="4" applyNumberFormat="1" applyFont="1" applyFill="1" applyBorder="1" applyAlignment="1">
      <alignment horizontal="right"/>
    </xf>
    <xf numFmtId="10" fontId="7" fillId="0" borderId="1" xfId="4" applyNumberFormat="1" applyFont="1" applyFill="1" applyBorder="1" applyAlignment="1">
      <alignment horizontal="right"/>
    </xf>
    <xf numFmtId="173" fontId="7" fillId="0" borderId="28" xfId="2" applyNumberFormat="1" applyFont="1" applyFill="1" applyBorder="1" applyAlignment="1">
      <alignment horizontal="right"/>
    </xf>
    <xf numFmtId="10" fontId="82" fillId="0" borderId="1" xfId="4" applyNumberFormat="1" applyFont="1" applyFill="1" applyBorder="1" applyAlignment="1">
      <alignment horizontal="right"/>
    </xf>
    <xf numFmtId="175" fontId="82" fillId="0" borderId="41" xfId="2" applyNumberFormat="1" applyFont="1" applyFill="1" applyBorder="1" applyAlignment="1">
      <alignment horizontal="right"/>
    </xf>
    <xf numFmtId="164" fontId="53" fillId="0" borderId="126" xfId="4" applyNumberFormat="1" applyFont="1" applyFill="1" applyBorder="1" applyAlignment="1">
      <alignment horizontal="right"/>
    </xf>
    <xf numFmtId="192" fontId="7" fillId="0" borderId="99" xfId="2" applyNumberFormat="1" applyFont="1" applyFill="1" applyBorder="1" applyAlignment="1">
      <alignment horizontal="right"/>
    </xf>
    <xf numFmtId="173" fontId="7" fillId="0" borderId="98" xfId="2" applyNumberFormat="1" applyFont="1" applyFill="1" applyBorder="1" applyAlignment="1">
      <alignment horizontal="right"/>
    </xf>
    <xf numFmtId="173" fontId="7" fillId="0" borderId="1" xfId="2" applyNumberFormat="1" applyFont="1" applyFill="1" applyBorder="1" applyAlignment="1">
      <alignment horizontal="right"/>
    </xf>
    <xf numFmtId="173" fontId="82" fillId="0" borderId="1" xfId="2" applyNumberFormat="1" applyFont="1" applyFill="1" applyBorder="1" applyAlignment="1">
      <alignment horizontal="right"/>
    </xf>
    <xf numFmtId="0" fontId="7" fillId="0" borderId="18" xfId="2" applyFill="1" applyBorder="1" applyAlignment="1">
      <alignment horizontal="left"/>
    </xf>
    <xf numFmtId="0" fontId="37" fillId="0" borderId="28" xfId="2" applyFont="1" applyBorder="1" applyAlignment="1" applyProtection="1">
      <alignment horizontal="left"/>
    </xf>
    <xf numFmtId="0" fontId="37" fillId="11" borderId="28" xfId="2" applyFont="1" applyFill="1" applyBorder="1" applyAlignment="1" applyProtection="1">
      <alignment horizontal="left"/>
    </xf>
    <xf numFmtId="173" fontId="7" fillId="0" borderId="16" xfId="2" applyNumberFormat="1" applyFill="1" applyBorder="1" applyAlignment="1">
      <alignment horizontal="center" vertical="center"/>
    </xf>
    <xf numFmtId="173" fontId="7" fillId="0" borderId="0" xfId="2" applyNumberFormat="1" applyFill="1" applyAlignment="1">
      <alignment horizontal="center" vertical="center"/>
    </xf>
    <xf numFmtId="173" fontId="7" fillId="0" borderId="40" xfId="2" applyNumberFormat="1" applyFill="1" applyBorder="1" applyAlignment="1">
      <alignment horizontal="center" vertical="center"/>
    </xf>
    <xf numFmtId="0" fontId="7" fillId="0" borderId="28" xfId="2" quotePrefix="1" applyFill="1" applyBorder="1" applyAlignment="1">
      <alignment horizontal="center" shrinkToFit="1"/>
    </xf>
    <xf numFmtId="0" fontId="7" fillId="0" borderId="28" xfId="2" applyFill="1" applyBorder="1" applyAlignment="1">
      <alignment horizontal="center" shrinkToFit="1"/>
    </xf>
    <xf numFmtId="0" fontId="53" fillId="0" borderId="26" xfId="2" applyFont="1" applyBorder="1" applyAlignment="1" applyProtection="1">
      <alignment horizontal="left"/>
      <protection locked="0"/>
    </xf>
    <xf numFmtId="0" fontId="82" fillId="0" borderId="45" xfId="2" applyFont="1" applyBorder="1" applyAlignment="1">
      <alignment horizontal="right" vertical="center" wrapText="1"/>
    </xf>
    <xf numFmtId="0" fontId="82" fillId="0" borderId="28" xfId="2" applyFont="1" applyBorder="1" applyAlignment="1">
      <alignment horizontal="right" vertical="center" wrapText="1"/>
    </xf>
    <xf numFmtId="0" fontId="82" fillId="0" borderId="44" xfId="2" applyFont="1" applyBorder="1" applyAlignment="1">
      <alignment horizontal="center" vertical="center" wrapText="1"/>
    </xf>
    <xf numFmtId="0" fontId="82" fillId="0" borderId="14" xfId="2" applyFont="1" applyBorder="1" applyAlignment="1">
      <alignment horizontal="center" vertical="center" wrapText="1"/>
    </xf>
    <xf numFmtId="0" fontId="82" fillId="0" borderId="28" xfId="2" applyFont="1" applyBorder="1" applyAlignment="1">
      <alignment horizontal="center" vertical="center" wrapText="1"/>
    </xf>
    <xf numFmtId="0" fontId="82" fillId="0" borderId="43" xfId="2" applyFont="1" applyBorder="1" applyAlignment="1">
      <alignment horizontal="center" vertical="center" wrapText="1"/>
    </xf>
    <xf numFmtId="0" fontId="40" fillId="0" borderId="51" xfId="2" quotePrefix="1" applyFont="1" applyBorder="1" applyAlignment="1">
      <alignment horizontal="left" vertical="center" wrapText="1"/>
    </xf>
    <xf numFmtId="0" fontId="40" fillId="0" borderId="17" xfId="2" quotePrefix="1" applyFont="1" applyBorder="1" applyAlignment="1">
      <alignment horizontal="left" vertical="center" wrapText="1"/>
    </xf>
    <xf numFmtId="0" fontId="41" fillId="0" borderId="26" xfId="2" applyFont="1" applyBorder="1" applyAlignment="1" applyProtection="1">
      <alignment horizontal="left"/>
      <protection locked="0"/>
    </xf>
    <xf numFmtId="0" fontId="37" fillId="11" borderId="8" xfId="2" applyFont="1" applyFill="1" applyBorder="1" applyAlignment="1" applyProtection="1">
      <alignment horizontal="left"/>
    </xf>
    <xf numFmtId="0" fontId="7" fillId="0" borderId="18" xfId="2" applyFill="1" applyBorder="1" applyAlignment="1">
      <alignment horizontal="left" vertical="center"/>
    </xf>
    <xf numFmtId="0" fontId="36" fillId="0" borderId="0" xfId="2" applyFont="1" applyAlignment="1">
      <alignment horizontal="center"/>
    </xf>
    <xf numFmtId="0" fontId="82" fillId="0" borderId="13" xfId="2" applyFont="1" applyBorder="1" applyAlignment="1">
      <alignment horizontal="center" vertical="top" wrapText="1"/>
    </xf>
    <xf numFmtId="0" fontId="82" fillId="0" borderId="2" xfId="2" applyFont="1" applyBorder="1" applyAlignment="1">
      <alignment horizontal="center" vertical="top" wrapText="1"/>
    </xf>
    <xf numFmtId="0" fontId="82" fillId="0" borderId="50" xfId="2" applyFont="1" applyBorder="1" applyAlignment="1">
      <alignment horizontal="center" vertical="top" wrapText="1"/>
    </xf>
    <xf numFmtId="0" fontId="82" fillId="0" borderId="16" xfId="2" applyFont="1" applyBorder="1" applyAlignment="1">
      <alignment horizontal="center" vertical="top" wrapText="1"/>
    </xf>
    <xf numFmtId="0" fontId="82" fillId="0" borderId="0" xfId="2" applyFont="1" applyAlignment="1">
      <alignment horizontal="center" vertical="top" wrapText="1"/>
    </xf>
    <xf numFmtId="0" fontId="82" fillId="0" borderId="42" xfId="2" applyFont="1" applyBorder="1" applyAlignment="1">
      <alignment horizontal="center" vertical="top" wrapText="1"/>
    </xf>
    <xf numFmtId="0" fontId="82" fillId="0" borderId="38" xfId="2" applyFont="1" applyBorder="1" applyAlignment="1">
      <alignment horizontal="center" vertical="top" wrapText="1"/>
    </xf>
    <xf numFmtId="0" fontId="82" fillId="0" borderId="37" xfId="2" applyFont="1" applyBorder="1" applyAlignment="1">
      <alignment horizontal="center" vertical="top" wrapText="1"/>
    </xf>
    <xf numFmtId="0" fontId="82" fillId="0" borderId="39" xfId="2" applyFont="1" applyBorder="1" applyAlignment="1">
      <alignment horizontal="center" vertical="top" wrapText="1"/>
    </xf>
    <xf numFmtId="0" fontId="33" fillId="0" borderId="51" xfId="0" applyFont="1" applyBorder="1" applyAlignment="1">
      <alignment vertical="center" wrapText="1"/>
    </xf>
    <xf numFmtId="0" fontId="33" fillId="0" borderId="0" xfId="0" applyFont="1" applyBorder="1" applyAlignment="1">
      <alignment vertical="center" wrapText="1"/>
    </xf>
    <xf numFmtId="0" fontId="33" fillId="0" borderId="17" xfId="0" applyFont="1" applyBorder="1" applyAlignment="1">
      <alignment vertical="center" wrapText="1"/>
    </xf>
    <xf numFmtId="0" fontId="10" fillId="5" borderId="3" xfId="0" applyFont="1" applyFill="1" applyBorder="1" applyAlignment="1" applyProtection="1">
      <alignment horizontal="center" vertical="center" wrapText="1"/>
    </xf>
    <xf numFmtId="0" fontId="10" fillId="5" borderId="4" xfId="0" applyFont="1" applyFill="1" applyBorder="1" applyAlignment="1" applyProtection="1">
      <alignment horizontal="center" vertical="center" wrapText="1"/>
    </xf>
    <xf numFmtId="0" fontId="10" fillId="5" borderId="10" xfId="0" applyFont="1" applyFill="1" applyBorder="1" applyAlignment="1" applyProtection="1">
      <alignment horizontal="center" vertical="center" wrapText="1"/>
    </xf>
    <xf numFmtId="0" fontId="7" fillId="0" borderId="28" xfId="2" applyFont="1" applyFill="1" applyBorder="1" applyAlignment="1">
      <alignment horizontal="center" vertical="center"/>
    </xf>
    <xf numFmtId="0" fontId="77" fillId="0" borderId="18" xfId="2" applyFont="1" applyBorder="1" applyAlignment="1">
      <alignment horizontal="left" vertical="center" wrapText="1"/>
    </xf>
    <xf numFmtId="0" fontId="76" fillId="0" borderId="18" xfId="2" applyFont="1" applyBorder="1" applyAlignment="1">
      <alignment horizontal="left" vertical="center" wrapText="1"/>
    </xf>
    <xf numFmtId="0" fontId="77" fillId="0" borderId="51" xfId="2" applyFont="1" applyBorder="1" applyAlignment="1">
      <alignment horizontal="left" vertical="top" wrapText="1"/>
    </xf>
    <xf numFmtId="0" fontId="77" fillId="0" borderId="0" xfId="2" applyFont="1" applyAlignment="1">
      <alignment horizontal="left" vertical="top" wrapText="1"/>
    </xf>
    <xf numFmtId="0" fontId="77" fillId="0" borderId="17" xfId="2" applyFont="1" applyBorder="1" applyAlignment="1">
      <alignment horizontal="left" vertical="top" wrapText="1"/>
    </xf>
    <xf numFmtId="0" fontId="80" fillId="0" borderId="51" xfId="2" applyFont="1" applyFill="1" applyBorder="1" applyAlignment="1">
      <alignment horizontal="left" vertical="top" wrapText="1"/>
    </xf>
    <xf numFmtId="0" fontId="80" fillId="0" borderId="17" xfId="2" applyFont="1" applyFill="1" applyBorder="1" applyAlignment="1">
      <alignment horizontal="left" vertical="top" wrapText="1"/>
    </xf>
    <xf numFmtId="49" fontId="53" fillId="0" borderId="29" xfId="2" applyNumberFormat="1" applyFont="1" applyBorder="1" applyAlignment="1" applyProtection="1">
      <alignment horizontal="left" vertical="top" wrapText="1"/>
      <protection locked="0"/>
    </xf>
    <xf numFmtId="49" fontId="53" fillId="0" borderId="24"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49" fontId="53" fillId="0" borderId="31"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32" xfId="2" applyNumberFormat="1" applyFont="1" applyBorder="1" applyAlignment="1" applyProtection="1">
      <alignment horizontal="left" vertical="top" wrapText="1"/>
      <protection locked="0"/>
    </xf>
    <xf numFmtId="49" fontId="53" fillId="0" borderId="33"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34" xfId="2" applyNumberFormat="1" applyFont="1" applyBorder="1" applyAlignment="1" applyProtection="1">
      <alignment horizontal="left" vertical="top" wrapText="1"/>
      <protection locked="0"/>
    </xf>
    <xf numFmtId="0" fontId="82" fillId="0" borderId="13" xfId="2" applyFont="1" applyBorder="1" applyAlignment="1">
      <alignment horizontal="center" vertical="center" wrapText="1"/>
    </xf>
    <xf numFmtId="0" fontId="82" fillId="0" borderId="2" xfId="2" applyFont="1" applyBorder="1" applyAlignment="1">
      <alignment horizontal="center" vertical="center" wrapText="1"/>
    </xf>
    <xf numFmtId="0" fontId="82" fillId="0" borderId="50" xfId="2" applyFont="1" applyBorder="1" applyAlignment="1">
      <alignment horizontal="center" vertical="center" wrapText="1"/>
    </xf>
    <xf numFmtId="0" fontId="82" fillId="0" borderId="16" xfId="2" applyFont="1" applyBorder="1" applyAlignment="1">
      <alignment horizontal="center" vertical="center" wrapText="1"/>
    </xf>
    <xf numFmtId="0" fontId="82" fillId="0" borderId="0" xfId="2" applyFont="1" applyAlignment="1">
      <alignment horizontal="center" vertical="center" wrapText="1"/>
    </xf>
    <xf numFmtId="0" fontId="82" fillId="0" borderId="42" xfId="2" applyFont="1" applyBorder="1" applyAlignment="1">
      <alignment horizontal="center" vertical="center" wrapText="1"/>
    </xf>
    <xf numFmtId="0" fontId="82" fillId="0" borderId="38" xfId="2" applyFont="1" applyBorder="1" applyAlignment="1">
      <alignment horizontal="center" vertical="center" wrapText="1"/>
    </xf>
    <xf numFmtId="0" fontId="82" fillId="0" borderId="37" xfId="2" applyFont="1" applyBorder="1" applyAlignment="1">
      <alignment horizontal="center" vertical="center" wrapText="1"/>
    </xf>
    <xf numFmtId="0" fontId="82" fillId="0" borderId="39" xfId="2" applyFont="1" applyBorder="1" applyAlignment="1">
      <alignment horizontal="center" vertical="center" wrapText="1"/>
    </xf>
    <xf numFmtId="0" fontId="31" fillId="0" borderId="0" xfId="2" applyFont="1" applyAlignment="1">
      <alignment horizontal="center" vertical="center" wrapText="1"/>
    </xf>
    <xf numFmtId="0" fontId="88" fillId="0" borderId="18" xfId="2" applyNumberFormat="1" applyFont="1" applyBorder="1" applyAlignment="1">
      <alignment horizontal="left" vertical="center" wrapText="1"/>
    </xf>
    <xf numFmtId="0" fontId="77" fillId="0" borderId="51" xfId="2" applyNumberFormat="1" applyFont="1" applyBorder="1" applyAlignment="1">
      <alignment horizontal="left" vertical="center" wrapText="1"/>
    </xf>
    <xf numFmtId="0" fontId="77" fillId="0" borderId="17" xfId="2" applyNumberFormat="1" applyFont="1" applyBorder="1" applyAlignment="1">
      <alignment horizontal="left" vertical="center" wrapText="1"/>
    </xf>
    <xf numFmtId="0" fontId="76" fillId="0" borderId="18" xfId="2" applyFont="1" applyFill="1" applyBorder="1" applyAlignment="1">
      <alignment horizontal="left" vertical="center" wrapText="1"/>
    </xf>
    <xf numFmtId="49" fontId="53" fillId="0" borderId="24"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49" fontId="53" fillId="0" borderId="31"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32" xfId="2" applyNumberFormat="1" applyFont="1" applyBorder="1" applyAlignment="1" applyProtection="1">
      <alignment horizontal="left" vertical="top"/>
      <protection locked="0"/>
    </xf>
    <xf numFmtId="49" fontId="53" fillId="0" borderId="33"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34" xfId="2" applyNumberFormat="1" applyFont="1" applyBorder="1" applyAlignment="1" applyProtection="1">
      <alignment horizontal="left" vertical="top"/>
      <protection locked="0"/>
    </xf>
    <xf numFmtId="0" fontId="7" fillId="0" borderId="0" xfId="2" applyAlignment="1">
      <alignment horizontal="center"/>
    </xf>
    <xf numFmtId="0" fontId="82" fillId="0" borderId="91" xfId="2" applyFont="1" applyFill="1" applyBorder="1" applyAlignment="1">
      <alignment horizontal="center" vertical="center"/>
    </xf>
    <xf numFmtId="0" fontId="82" fillId="0" borderId="93" xfId="2" applyFont="1" applyFill="1" applyBorder="1" applyAlignment="1">
      <alignment horizontal="center" vertical="center"/>
    </xf>
    <xf numFmtId="173" fontId="7" fillId="0" borderId="0" xfId="2" quotePrefix="1" applyNumberFormat="1" applyAlignment="1">
      <alignment horizontal="center" vertical="center"/>
    </xf>
    <xf numFmtId="173" fontId="82" fillId="0" borderId="91" xfId="2" applyNumberFormat="1" applyFont="1" applyFill="1" applyBorder="1" applyAlignment="1">
      <alignment horizontal="center" vertical="center" wrapText="1"/>
    </xf>
    <xf numFmtId="173" fontId="82" fillId="0" borderId="92" xfId="2" applyNumberFormat="1" applyFont="1" applyFill="1" applyBorder="1" applyAlignment="1">
      <alignment horizontal="center" vertical="center" wrapText="1"/>
    </xf>
    <xf numFmtId="173" fontId="82" fillId="0" borderId="104" xfId="2" applyNumberFormat="1" applyFont="1" applyFill="1" applyBorder="1" applyAlignment="1">
      <alignment horizontal="center" vertical="center" wrapText="1"/>
    </xf>
    <xf numFmtId="8" fontId="36" fillId="0" borderId="41" xfId="2" applyNumberFormat="1" applyFont="1" applyFill="1" applyBorder="1" applyAlignment="1">
      <alignment horizontal="center"/>
    </xf>
    <xf numFmtId="0" fontId="82" fillId="0" borderId="0" xfId="2" applyFont="1" applyFill="1" applyAlignment="1">
      <alignment horizontal="center"/>
    </xf>
    <xf numFmtId="0" fontId="82" fillId="0" borderId="28" xfId="2" applyFont="1" applyFill="1" applyBorder="1" applyAlignment="1">
      <alignment horizontal="center"/>
    </xf>
    <xf numFmtId="0" fontId="51" fillId="0" borderId="0" xfId="2" applyFont="1" applyBorder="1" applyAlignment="1">
      <alignment horizontal="left" vertical="center" wrapText="1"/>
    </xf>
    <xf numFmtId="0" fontId="51" fillId="0" borderId="0" xfId="2" applyFont="1" applyAlignment="1">
      <alignment horizontal="left" vertical="center" wrapText="1"/>
    </xf>
    <xf numFmtId="0" fontId="44" fillId="0" borderId="0" xfId="2" applyFont="1" applyFill="1" applyAlignment="1">
      <alignment horizontal="center"/>
    </xf>
    <xf numFmtId="173" fontId="7" fillId="0" borderId="0" xfId="2" applyNumberFormat="1" applyFill="1" applyAlignment="1">
      <alignment horizontal="center"/>
    </xf>
    <xf numFmtId="173" fontId="113" fillId="0" borderId="0" xfId="2" applyNumberFormat="1" applyFont="1" applyFill="1" applyAlignment="1">
      <alignment horizontal="center"/>
    </xf>
    <xf numFmtId="173" fontId="30" fillId="0" borderId="0" xfId="2" applyNumberFormat="1" applyFont="1" applyAlignment="1">
      <alignment horizontal="center"/>
    </xf>
    <xf numFmtId="0" fontId="7" fillId="0" borderId="0" xfId="2" applyBorder="1" applyAlignment="1">
      <alignment horizontal="center"/>
    </xf>
    <xf numFmtId="6" fontId="7" fillId="0" borderId="28" xfId="2" applyNumberFormat="1" applyFill="1" applyBorder="1" applyAlignment="1">
      <alignment horizontal="center"/>
    </xf>
    <xf numFmtId="6" fontId="82" fillId="0" borderId="41" xfId="2" applyNumberFormat="1" applyFont="1" applyFill="1" applyBorder="1" applyAlignment="1">
      <alignment horizontal="center"/>
    </xf>
    <xf numFmtId="0" fontId="146" fillId="8" borderId="0" xfId="0" applyFont="1" applyFill="1" applyAlignment="1">
      <alignment horizontal="right" vertical="top" wrapText="1"/>
    </xf>
    <xf numFmtId="0" fontId="108" fillId="8" borderId="0" xfId="0" applyFont="1" applyFill="1" applyAlignment="1">
      <alignment horizontal="right" vertical="top" wrapText="1"/>
    </xf>
    <xf numFmtId="0" fontId="12" fillId="8" borderId="8" xfId="0" applyFont="1" applyFill="1" applyBorder="1" applyAlignment="1" applyProtection="1">
      <alignment horizontal="center" vertical="center"/>
      <protection locked="0"/>
    </xf>
    <xf numFmtId="0" fontId="12" fillId="8" borderId="26" xfId="0" applyFont="1" applyFill="1" applyBorder="1" applyAlignment="1" applyProtection="1">
      <alignment horizontal="center" vertical="center"/>
      <protection locked="0"/>
    </xf>
    <xf numFmtId="49" fontId="0" fillId="8" borderId="0" xfId="0" applyNumberFormat="1" applyFill="1" applyAlignment="1">
      <alignment horizontal="left" vertical="center" wrapText="1"/>
    </xf>
    <xf numFmtId="0" fontId="0" fillId="8" borderId="0" xfId="0" applyFill="1" applyBorder="1" applyAlignment="1" applyProtection="1">
      <alignment horizontal="left" vertical="center"/>
    </xf>
    <xf numFmtId="38" fontId="4" fillId="8" borderId="0" xfId="0" applyNumberFormat="1" applyFont="1" applyFill="1" applyBorder="1" applyAlignment="1" applyProtection="1">
      <alignment horizontal="center" vertical="center"/>
    </xf>
    <xf numFmtId="38" fontId="12" fillId="6" borderId="128" xfId="0" applyNumberFormat="1" applyFont="1" applyFill="1" applyBorder="1" applyAlignment="1" applyProtection="1">
      <alignment horizontal="center" vertical="center"/>
    </xf>
    <xf numFmtId="38" fontId="12" fillId="6" borderId="54" xfId="0" applyNumberFormat="1" applyFont="1" applyFill="1" applyBorder="1" applyAlignment="1" applyProtection="1">
      <alignment horizontal="center" vertical="center"/>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12" fillId="2" borderId="0" xfId="0" applyFont="1" applyFill="1" applyBorder="1" applyAlignment="1" applyProtection="1">
      <alignment horizontal="left" vertical="center" wrapText="1"/>
      <protection locked="0"/>
    </xf>
    <xf numFmtId="0" fontId="12" fillId="2" borderId="0" xfId="0" applyFont="1" applyFill="1" applyBorder="1" applyAlignment="1" applyProtection="1">
      <alignment horizontal="center" vertical="center"/>
      <protection locked="0"/>
    </xf>
    <xf numFmtId="0" fontId="12" fillId="2" borderId="26" xfId="0" applyFont="1" applyFill="1" applyBorder="1" applyAlignment="1" applyProtection="1">
      <alignment horizontal="center" vertical="center"/>
      <protection locked="0"/>
    </xf>
    <xf numFmtId="0" fontId="22" fillId="0" borderId="0" xfId="0" applyFont="1" applyAlignment="1">
      <alignment horizontal="left" wrapText="1"/>
    </xf>
    <xf numFmtId="0" fontId="12" fillId="2" borderId="26" xfId="0" applyFont="1" applyFill="1" applyBorder="1" applyAlignment="1" applyProtection="1">
      <alignment vertical="top"/>
      <protection locked="0"/>
    </xf>
    <xf numFmtId="0" fontId="19" fillId="5" borderId="3" xfId="0" applyFont="1" applyFill="1" applyBorder="1" applyAlignment="1" applyProtection="1">
      <alignment horizontal="center" vertical="center" wrapText="1"/>
    </xf>
    <xf numFmtId="0" fontId="19" fillId="5" borderId="4" xfId="0" applyFont="1" applyFill="1" applyBorder="1" applyAlignment="1" applyProtection="1">
      <alignment horizontal="center" vertical="center" wrapText="1"/>
    </xf>
    <xf numFmtId="0" fontId="19" fillId="5" borderId="10" xfId="0" applyFont="1" applyFill="1" applyBorder="1" applyAlignment="1" applyProtection="1">
      <alignment horizontal="center" vertical="center" wrapText="1"/>
    </xf>
    <xf numFmtId="0" fontId="22" fillId="0" borderId="0" xfId="0" applyFont="1" applyBorder="1" applyAlignment="1" applyProtection="1">
      <alignment vertical="top" wrapText="1"/>
    </xf>
    <xf numFmtId="49" fontId="0" fillId="0" borderId="0" xfId="0" applyNumberFormat="1" applyAlignment="1">
      <alignment horizontal="left" vertical="top" wrapText="1"/>
    </xf>
  </cellXfs>
  <cellStyles count="12">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782">
    <dxf>
      <font>
        <color rgb="FFFF0000"/>
      </font>
    </dxf>
    <dxf>
      <fill>
        <patternFill>
          <bgColor theme="9" tint="0.79998168889431442"/>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0000FF"/>
      </font>
      <fill>
        <patternFill>
          <bgColor theme="7" tint="0.79998168889431442"/>
        </patternFill>
      </fill>
    </dxf>
    <dxf>
      <font>
        <color rgb="FF0000FF"/>
      </font>
      <fill>
        <patternFill>
          <bgColor theme="7" tint="0.7999816888943144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font>
      <fill>
        <patternFill patternType="none">
          <bgColor auto="1"/>
        </patternFill>
      </fill>
      <border>
        <left/>
        <right/>
        <top/>
        <bottom/>
        <vertical/>
        <horizontal/>
      </border>
    </dxf>
    <dxf>
      <font>
        <color rgb="FF0000FF"/>
      </font>
      <fill>
        <patternFill patternType="none">
          <bgColor auto="1"/>
        </patternFill>
      </fill>
      <border>
        <bottom style="thin">
          <color rgb="FF0000FF"/>
        </bottom>
        <vertical/>
        <horizontal/>
      </border>
    </dxf>
    <dxf>
      <font>
        <color theme="0"/>
      </font>
      <fill>
        <patternFill patternType="none">
          <bgColor auto="1"/>
        </patternFill>
      </fill>
      <border>
        <left/>
        <right/>
        <top/>
        <bottom/>
        <vertical/>
        <horizontal/>
      </border>
    </dxf>
    <dxf>
      <font>
        <b/>
        <i val="0"/>
      </font>
      <fill>
        <patternFill patternType="none">
          <bgColor auto="1"/>
        </patternFill>
      </fill>
    </dxf>
    <dxf>
      <font>
        <b/>
        <i/>
        <color rgb="FFFF0000"/>
      </font>
      <fill>
        <patternFill>
          <bgColor rgb="FFFFEBFF"/>
        </patternFill>
      </fill>
    </dxf>
    <dxf>
      <font>
        <b/>
        <i/>
      </font>
      <fill>
        <patternFill>
          <bgColor rgb="FFFFEBFF"/>
        </patternFill>
      </fill>
    </dxf>
    <dxf>
      <fill>
        <patternFill patternType="lightUp">
          <fgColor theme="0" tint="-0.499984740745262"/>
        </patternFill>
      </fill>
    </dxf>
    <dxf>
      <font>
        <b val="0"/>
        <i/>
        <color theme="0" tint="-0.499984740745262"/>
      </font>
      <fill>
        <patternFill>
          <bgColor theme="0"/>
        </patternFill>
      </fill>
    </dxf>
    <dxf>
      <fill>
        <patternFill patternType="lightUp">
          <fgColor theme="0" tint="-0.499984740745262"/>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val="0"/>
        <color rgb="FFFFFF00"/>
      </font>
      <fill>
        <patternFill>
          <bgColor rgb="FFFF0000"/>
        </patternFill>
      </fill>
    </dxf>
    <dxf>
      <fill>
        <patternFill>
          <bgColor rgb="FFFFEBFF"/>
        </patternFill>
      </fill>
    </dxf>
    <dxf>
      <font>
        <b/>
        <i/>
        <color rgb="FFFF0000"/>
      </font>
      <fill>
        <patternFill>
          <bgColor rgb="FFFFEBFF"/>
        </patternFill>
      </fill>
    </dxf>
    <dxf>
      <fill>
        <patternFill>
          <bgColor rgb="FFFFEBFF"/>
        </patternFill>
      </fill>
    </dxf>
    <dxf>
      <font>
        <b/>
        <i val="0"/>
        <color rgb="FFFF0000"/>
      </font>
      <fill>
        <patternFill>
          <bgColor rgb="FFFFEBFF"/>
        </patternFill>
      </fill>
    </dxf>
    <dxf>
      <font>
        <b/>
        <i/>
        <color rgb="FFFF0000"/>
      </font>
      <fill>
        <patternFill>
          <bgColor rgb="FFFFEBFF"/>
        </patternFill>
      </fill>
    </dxf>
    <dxf>
      <font>
        <b/>
        <i val="0"/>
        <color rgb="FFFF0000"/>
      </font>
      <fill>
        <patternFill>
          <bgColor rgb="FFFFEBFF"/>
        </patternFill>
      </fill>
    </dxf>
    <dxf>
      <fill>
        <patternFill>
          <bgColor rgb="FFFFEBFF"/>
        </patternFill>
      </fill>
    </dxf>
    <dxf>
      <font>
        <b/>
        <i/>
        <color rgb="FFFF0000"/>
      </font>
      <fill>
        <patternFill>
          <bgColor rgb="FFFFEBFF"/>
        </patternFill>
      </fill>
    </dxf>
    <dxf>
      <font>
        <b/>
        <i/>
        <color rgb="FFFF0000"/>
      </font>
      <fill>
        <patternFill>
          <bgColor rgb="FFFFEBFF"/>
        </patternFill>
      </fill>
    </dxf>
    <dxf>
      <font>
        <b/>
        <i val="0"/>
        <color rgb="FFFF0000"/>
      </font>
      <fill>
        <patternFill>
          <bgColor rgb="FFFFEBFF"/>
        </patternFill>
      </fill>
    </dxf>
    <dxf>
      <font>
        <b/>
        <i/>
        <color rgb="FFFF0000"/>
      </font>
    </dxf>
    <dxf>
      <font>
        <b/>
        <i/>
        <color rgb="FFFF0000"/>
      </font>
    </dxf>
    <dxf>
      <font>
        <b val="0"/>
        <i val="0"/>
        <color rgb="FFC0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ill>
        <patternFill patternType="lightUp">
          <fgColor theme="0" tint="-0.34998626667073579"/>
        </patternFill>
      </fill>
    </dxf>
    <dxf>
      <font>
        <b val="0"/>
        <i val="0"/>
        <color rgb="FFFF0000"/>
      </font>
      <fill>
        <patternFill>
          <bgColor rgb="FFFFDCFF"/>
        </patternFill>
      </fill>
    </dxf>
    <dxf>
      <font>
        <color auto="1"/>
      </font>
      <fill>
        <patternFill patternType="none">
          <bgColor auto="1"/>
        </patternFill>
      </fill>
    </dxf>
    <dxf>
      <fill>
        <patternFill>
          <bgColor rgb="FFCCFFCC"/>
        </patternFill>
      </fill>
    </dxf>
    <dxf>
      <font>
        <b/>
        <i val="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ill>
        <patternFill>
          <bgColor rgb="FFFFEBFF"/>
        </patternFill>
      </fill>
    </dxf>
    <dxf>
      <fill>
        <patternFill>
          <bgColor rgb="FFFFEBFF"/>
        </patternFill>
      </fill>
    </dxf>
    <dxf>
      <fill>
        <patternFill>
          <bgColor rgb="FFFFEBFF"/>
        </patternFill>
      </fill>
    </dxf>
    <dxf>
      <fill>
        <patternFill>
          <bgColor rgb="FFFFEBFF"/>
        </patternFill>
      </fill>
    </dxf>
    <dxf>
      <fill>
        <patternFill>
          <bgColor rgb="FFFFEBFF"/>
        </patternFill>
      </fill>
    </dxf>
    <dxf>
      <fill>
        <patternFill>
          <bgColor rgb="FFFFEBFF"/>
        </patternFill>
      </fill>
    </dxf>
    <dxf>
      <font>
        <b/>
        <i val="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ill>
        <patternFill patternType="lightUp">
          <fgColor theme="0" tint="-0.499984740745262"/>
        </patternFill>
      </fill>
    </dxf>
    <dxf>
      <font>
        <b/>
        <i/>
        <color rgb="FFFF0000"/>
      </font>
      <fill>
        <patternFill patternType="none">
          <bgColor auto="1"/>
        </patternFill>
      </fill>
    </dxf>
    <dxf>
      <font>
        <b val="0"/>
        <i/>
        <color rgb="FFC00000"/>
      </font>
    </dxf>
    <dxf>
      <font>
        <b val="0"/>
        <i/>
        <color rgb="FFC00000"/>
      </font>
    </dxf>
    <dxf>
      <font>
        <b val="0"/>
        <i/>
        <color rgb="FFC00000"/>
      </font>
    </dxf>
    <dxf>
      <font>
        <color theme="6" tint="-0.499984740745262"/>
      </font>
      <fill>
        <patternFill>
          <bgColor rgb="FFDDFFDD"/>
        </patternFill>
      </fill>
    </dxf>
    <dxf>
      <font>
        <color rgb="FFC00000"/>
      </font>
      <fill>
        <patternFill>
          <bgColor rgb="FFFFE6FF"/>
        </patternFill>
      </fill>
    </dxf>
    <dxf>
      <font>
        <color theme="0"/>
      </font>
    </dxf>
    <dxf>
      <font>
        <color theme="0"/>
      </font>
    </dxf>
    <dxf>
      <font>
        <color theme="0"/>
      </font>
    </dxf>
    <dxf>
      <font>
        <b/>
        <i val="0"/>
        <color rgb="FFFF0000"/>
      </font>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b/>
        <i val="0"/>
        <color rgb="FFFF0000"/>
      </font>
    </dxf>
    <dxf>
      <font>
        <b/>
        <i val="0"/>
        <color rgb="FF00B050"/>
      </font>
      <fill>
        <patternFill patternType="none">
          <bgColor auto="1"/>
        </patternFill>
      </fill>
    </dxf>
    <dxf>
      <font>
        <b/>
        <i val="0"/>
        <color rgb="FF00B050"/>
      </font>
      <fill>
        <patternFill patternType="none">
          <bgColor auto="1"/>
        </patternFill>
      </fill>
    </dxf>
    <dxf>
      <font>
        <b/>
        <i val="0"/>
        <color rgb="FFFF0000"/>
      </font>
    </dxf>
    <dxf>
      <font>
        <b val="0"/>
        <i/>
        <color rgb="FFFF0000"/>
      </font>
    </dxf>
    <dxf>
      <font>
        <b/>
        <i/>
        <color rgb="FFFF0000"/>
      </font>
      <fill>
        <patternFill>
          <bgColor rgb="FFFFEBFF"/>
        </patternFill>
      </fill>
    </dxf>
    <dxf>
      <font>
        <b val="0"/>
        <i val="0"/>
        <color rgb="FFC00000"/>
      </font>
      <fill>
        <patternFill>
          <bgColor rgb="FFFFEBFF"/>
        </patternFill>
      </fill>
    </dxf>
    <dxf>
      <font>
        <b/>
        <i/>
        <color rgb="FFFF0000"/>
      </font>
      <fill>
        <patternFill>
          <bgColor rgb="FFFFEBFF"/>
        </patternFill>
      </fill>
    </dxf>
    <dxf>
      <font>
        <b/>
        <i val="0"/>
        <color rgb="FFFF0000"/>
      </font>
      <fill>
        <patternFill>
          <bgColor rgb="FFFFEBFF"/>
        </patternFill>
      </fill>
    </dxf>
    <dxf>
      <font>
        <b val="0"/>
        <i val="0"/>
        <color rgb="FFC00000"/>
      </font>
      <fill>
        <patternFill>
          <bgColor rgb="FFFFEBFF"/>
        </patternFill>
      </fill>
    </dxf>
    <dxf>
      <font>
        <b val="0"/>
        <i val="0"/>
        <color rgb="FFC00000"/>
      </font>
      <fill>
        <patternFill>
          <bgColor rgb="FFFFEBFF"/>
        </patternFill>
      </fill>
    </dxf>
    <dxf>
      <font>
        <b val="0"/>
        <i val="0"/>
        <color rgb="FFC0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color rgb="FFFF0000"/>
      </font>
      <fill>
        <patternFill>
          <bgColor rgb="FFFFEBFF"/>
        </patternFill>
      </fill>
    </dxf>
    <dxf>
      <font>
        <b/>
        <i/>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i val="0"/>
        <color rgb="FFFF0000"/>
      </font>
      <fill>
        <patternFill>
          <bgColor rgb="FFFFEBFF"/>
        </patternFill>
      </fill>
    </dxf>
    <dxf>
      <font>
        <b val="0"/>
        <i val="0"/>
        <color rgb="FFC00000"/>
      </font>
      <fill>
        <patternFill>
          <bgColor rgb="FFFFEBFF"/>
        </patternFill>
      </fill>
    </dxf>
    <dxf>
      <font>
        <b/>
        <i val="0"/>
        <color rgb="FFFF0000"/>
      </font>
    </dxf>
    <dxf>
      <font>
        <b/>
        <i val="0"/>
        <color rgb="FFFF0000"/>
      </font>
    </dxf>
    <dxf>
      <fill>
        <patternFill>
          <bgColor rgb="FFC8FFC8"/>
        </patternFill>
      </fill>
    </dxf>
    <dxf>
      <fill>
        <patternFill>
          <bgColor rgb="FFFFEBFF"/>
        </patternFill>
      </fill>
    </dxf>
    <dxf>
      <font>
        <b val="0"/>
        <i val="0"/>
      </font>
      <fill>
        <patternFill>
          <bgColor theme="9" tint="0.79998168889431442"/>
        </patternFill>
      </fill>
    </dxf>
    <dxf>
      <font>
        <b val="0"/>
        <i val="0"/>
      </font>
      <fill>
        <patternFill>
          <bgColor theme="9" tint="0.79998168889431442"/>
        </patternFill>
      </fill>
    </dxf>
    <dxf>
      <font>
        <color theme="0"/>
      </font>
      <fill>
        <patternFill patternType="none">
          <bgColor auto="1"/>
        </patternFill>
      </fill>
      <border>
        <left/>
        <right/>
        <top/>
        <bottom/>
        <vertical/>
        <horizontal/>
      </border>
    </dxf>
    <dxf>
      <font>
        <b val="0"/>
        <i val="0"/>
      </font>
      <fill>
        <patternFill>
          <bgColor theme="9" tint="0.79998168889431442"/>
        </patternFill>
      </fill>
    </dxf>
    <dxf>
      <font>
        <color rgb="FFC00000"/>
      </font>
      <fill>
        <patternFill>
          <bgColor rgb="FFFFDC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rgb="FFE2EFDA"/>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vertical/>
        <horizontal/>
      </border>
    </dxf>
    <dxf>
      <font>
        <color rgb="FF7030A0"/>
      </font>
      <fill>
        <patternFill>
          <bgColor rgb="FF99FF99"/>
        </patternFill>
      </fill>
    </dxf>
    <dxf>
      <font>
        <color rgb="FF7030A0"/>
      </font>
      <fill>
        <patternFill>
          <bgColor rgb="FF99FF99"/>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Down">
          <fgColor theme="0" tint="-0.24994659260841701"/>
        </patternFill>
      </fill>
    </dxf>
    <dxf>
      <fill>
        <patternFill patternType="darkDown">
          <fgColor theme="0" tint="-0.24994659260841701"/>
        </patternFill>
      </fill>
    </dxf>
    <dxf>
      <font>
        <b/>
        <i val="0"/>
        <color rgb="FF7030A0"/>
      </font>
    </dxf>
    <dxf>
      <font>
        <color theme="0" tint="-0.14996795556505021"/>
      </font>
    </dxf>
    <dxf>
      <font>
        <b/>
        <i val="0"/>
        <color rgb="FF7030A0"/>
      </font>
    </dxf>
    <dxf>
      <font>
        <color theme="0" tint="-0.14996795556505021"/>
      </font>
    </dxf>
    <dxf>
      <font>
        <color theme="0" tint="-0.14996795556505021"/>
      </font>
    </dxf>
    <dxf>
      <font>
        <color theme="0" tint="-0.14996795556505021"/>
      </font>
    </dxf>
    <dxf>
      <font>
        <color theme="0" tint="-0.14996795556505021"/>
      </font>
    </dxf>
    <dxf>
      <font>
        <b/>
        <i val="0"/>
        <color rgb="FF7030A0"/>
      </font>
    </dxf>
    <dxf>
      <font>
        <color theme="0" tint="-0.14996795556505021"/>
      </font>
    </dxf>
    <dxf>
      <font>
        <b/>
        <i val="0"/>
        <color rgb="FF7030A0"/>
      </font>
    </dxf>
    <dxf>
      <font>
        <color theme="0" tint="-0.14996795556505021"/>
      </font>
    </dxf>
    <dxf>
      <font>
        <b/>
        <i val="0"/>
        <color rgb="FF7030A0"/>
      </font>
    </dxf>
    <dxf>
      <font>
        <color theme="0" tint="-0.14996795556505021"/>
      </font>
    </dxf>
    <dxf>
      <font>
        <color theme="0" tint="-0.14996795556505021"/>
      </font>
    </dxf>
    <dxf>
      <font>
        <b/>
        <i val="0"/>
        <color rgb="FF7030A0"/>
      </font>
    </dxf>
    <dxf>
      <font>
        <b/>
        <i val="0"/>
        <color rgb="FF7030A0"/>
      </font>
    </dxf>
    <dxf>
      <font>
        <b/>
        <i val="0"/>
        <color rgb="FF7030A0"/>
      </font>
    </dxf>
    <dxf>
      <font>
        <b/>
        <i val="0"/>
        <color rgb="FF7030A0"/>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ont>
        <b val="0"/>
        <i val="0"/>
        <color rgb="FFC00000"/>
      </font>
      <fill>
        <patternFill>
          <bgColor rgb="FFFFE6FF"/>
        </patternFill>
      </fill>
    </dxf>
    <dxf>
      <font>
        <color theme="0"/>
      </font>
      <fill>
        <patternFill>
          <bgColor theme="0"/>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rgb="FFFFFF00"/>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auto="1"/>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font>
    </dxf>
    <dxf>
      <font>
        <color theme="0"/>
      </font>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font>
    </dxf>
    <dxf>
      <font>
        <b val="0"/>
        <i/>
      </font>
    </dxf>
    <dxf>
      <font>
        <b val="0"/>
        <i/>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fill>
        <patternFill>
          <bgColor theme="0"/>
        </patternFill>
      </fill>
    </dxf>
    <dxf>
      <font>
        <color theme="0"/>
      </font>
      <fill>
        <patternFill>
          <bgColor theme="0"/>
        </patternFill>
      </fill>
    </dxf>
    <dxf>
      <font>
        <color theme="0"/>
      </font>
    </dxf>
    <dxf>
      <font>
        <color rgb="FF9C0006"/>
      </font>
      <fill>
        <patternFill>
          <bgColor rgb="FFFFE6FF"/>
        </patternFill>
      </fill>
    </dxf>
    <dxf>
      <font>
        <color rgb="FFC00000"/>
      </font>
      <fill>
        <patternFill>
          <bgColor rgb="FFFFE6FF"/>
        </patternFill>
      </fill>
    </dxf>
    <dxf>
      <font>
        <color theme="0"/>
      </font>
      <fill>
        <patternFill>
          <bgColor theme="0"/>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b val="0"/>
        <i val="0"/>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7030A0"/>
      </font>
      <fill>
        <patternFill>
          <bgColor rgb="FF99FF99"/>
        </patternFill>
      </fill>
    </dxf>
    <dxf>
      <font>
        <color theme="0"/>
      </font>
      <fill>
        <patternFill>
          <bgColor theme="0"/>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0"/>
      </font>
      <fill>
        <patternFill>
          <bgColor theme="0"/>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theme="0"/>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vertical/>
        <horizontal/>
      </border>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theme="0"/>
      </font>
      <fill>
        <patternFill>
          <bgColor theme="0"/>
        </patternFill>
      </fill>
      <border>
        <left/>
        <right/>
        <top/>
        <bottom/>
        <vertical/>
        <horizontal/>
      </border>
    </dxf>
    <dxf>
      <font>
        <color theme="0" tint="-0.34998626667073579"/>
      </font>
      <fill>
        <patternFill patternType="darkUp">
          <fgColor theme="0" tint="-0.24994659260841701"/>
          <bgColor auto="1"/>
        </patternFill>
      </fill>
    </dxf>
    <dxf>
      <font>
        <color theme="0" tint="-0.14996795556505021"/>
      </font>
      <fill>
        <patternFill patternType="darkUp">
          <fgColor theme="0" tint="-0.24994659260841701"/>
          <bgColor rgb="FFFFDC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none">
          <bgColor auto="1"/>
        </patternFill>
      </fill>
    </dxf>
    <dxf>
      <font>
        <color rgb="FFC00000"/>
      </font>
      <fill>
        <patternFill>
          <bgColor rgb="FFFFE6FF"/>
        </patternFill>
      </fill>
    </dxf>
    <dxf>
      <font>
        <color theme="0" tint="-0.34998626667073579"/>
      </font>
    </dxf>
    <dxf>
      <fill>
        <patternFill>
          <bgColor theme="9" tint="0.79998168889431442"/>
        </patternFill>
      </fill>
    </dxf>
    <dxf>
      <fill>
        <patternFill patternType="darkUp">
          <fgColor theme="0" tint="-0.24994659260841701"/>
          <bgColor theme="0"/>
        </patternFill>
      </fill>
    </dxf>
    <dxf>
      <font>
        <color auto="1"/>
      </font>
      <fill>
        <patternFill patternType="none">
          <bgColor auto="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fill>
        <patternFill patternType="darkUp">
          <fgColor theme="0" tint="-0.24994659260841701"/>
          <bgColor auto="1"/>
        </patternFill>
      </fill>
    </dxf>
    <dxf>
      <font>
        <color theme="0" tint="-0.34998626667073579"/>
      </font>
    </dxf>
    <dxf>
      <font>
        <color theme="0" tint="-0.34998626667073579"/>
      </font>
    </dxf>
    <dxf>
      <border>
        <top style="hair">
          <color auto="1"/>
        </top>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b/>
        <i val="0"/>
      </font>
    </dxf>
    <dxf>
      <fill>
        <patternFill patternType="none">
          <bgColor auto="1"/>
        </patternFill>
      </fill>
    </dxf>
    <dxf>
      <font>
        <b/>
        <i val="0"/>
      </font>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font>
        <color theme="0"/>
      </font>
      <border>
        <left style="thin">
          <color auto="1"/>
        </left>
        <right/>
        <top/>
        <bottom/>
        <vertical/>
        <horizontal/>
      </border>
    </dxf>
    <dxf>
      <font>
        <color theme="0"/>
      </font>
      <fill>
        <patternFill>
          <bgColor theme="0"/>
        </patternFill>
      </fill>
      <border>
        <right/>
        <top/>
        <bottom/>
        <vertical/>
        <horizontal/>
      </border>
    </dxf>
    <dxf>
      <fill>
        <patternFill patternType="darkUp">
          <fgColor theme="0" tint="-0.24994659260841701"/>
        </patternFill>
      </fill>
    </dxf>
    <dxf>
      <font>
        <color rgb="FFC00000"/>
      </font>
      <fill>
        <patternFill>
          <bgColor rgb="FFFFE6FF"/>
        </patternFill>
      </fill>
    </dxf>
    <dxf>
      <font>
        <color theme="0" tint="-0.34998626667073579"/>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b val="0"/>
        <i val="0"/>
        <strike val="0"/>
        <color rgb="FFC00000"/>
      </font>
      <fill>
        <patternFill>
          <bgColor rgb="FFFFE6FF"/>
        </patternFill>
      </fill>
    </dxf>
    <dxf>
      <font>
        <b val="0"/>
        <i val="0"/>
        <strike val="0"/>
        <color rgb="FFC00000"/>
      </font>
      <fill>
        <patternFill>
          <bgColor rgb="FFFFE6FF"/>
        </patternFill>
      </fill>
    </dxf>
    <dxf>
      <fill>
        <patternFill>
          <bgColor theme="9" tint="0.79998168889431442"/>
        </patternFill>
      </fill>
    </dxf>
    <dxf>
      <font>
        <color theme="0"/>
      </font>
      <fill>
        <patternFill>
          <bgColor theme="0"/>
        </patternFill>
      </fill>
      <border>
        <left/>
        <right/>
        <top/>
        <bottom/>
      </border>
    </dxf>
    <dxf>
      <font>
        <color theme="0"/>
      </font>
      <fill>
        <patternFill>
          <bgColor theme="0"/>
        </patternFill>
      </fill>
      <border>
        <left/>
        <right/>
        <top/>
        <bottom/>
      </border>
    </dxf>
    <dxf>
      <font>
        <color auto="1"/>
      </font>
      <fill>
        <patternFill patternType="solid">
          <bgColor theme="1"/>
        </patternFill>
      </fill>
    </dxf>
    <dxf>
      <font>
        <color auto="1"/>
      </font>
      <fill>
        <patternFill patternType="solid">
          <bgColor theme="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b val="0"/>
        <i val="0"/>
        <color rgb="FFC00000"/>
      </font>
      <fill>
        <patternFill>
          <bgColor rgb="FFFFE6FF"/>
        </patternFill>
      </fill>
    </dxf>
    <dxf>
      <font>
        <b/>
        <i val="0"/>
        <color rgb="FFFF0000"/>
      </font>
      <fill>
        <patternFill patternType="none">
          <bgColor auto="1"/>
        </patternFill>
      </fill>
    </dxf>
    <dxf>
      <fill>
        <patternFill patternType="lightUp">
          <bgColor theme="0"/>
        </patternFill>
      </fill>
    </dxf>
    <dxf>
      <font>
        <b/>
        <i val="0"/>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border>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lightUp">
          <bgColor auto="1"/>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ont>
        <color rgb="FFC00000"/>
      </font>
      <fill>
        <patternFill>
          <bgColor rgb="FFFFDCFF"/>
        </patternFill>
      </fill>
    </dxf>
    <dxf>
      <font>
        <color rgb="FFC00000"/>
      </font>
      <fill>
        <patternFill>
          <bgColor rgb="FFFFDCFF"/>
        </patternFill>
      </fill>
    </dxf>
    <dxf>
      <fill>
        <patternFill>
          <bgColor theme="9" tint="0.79998168889431442"/>
        </patternFill>
      </fill>
    </dxf>
    <dxf>
      <font>
        <color rgb="FFC00000"/>
      </font>
      <fill>
        <patternFill>
          <bgColor rgb="FFFFDCFF"/>
        </patternFill>
      </fill>
    </dxf>
    <dxf>
      <font>
        <color rgb="FFC00000"/>
      </font>
      <fill>
        <patternFill>
          <bgColor rgb="FFFFDCFF"/>
        </patternFill>
      </fill>
    </dxf>
    <dxf>
      <fill>
        <patternFill>
          <bgColor theme="9" tint="0.79998168889431442"/>
        </patternFill>
      </fill>
    </dxf>
    <dxf>
      <font>
        <color theme="0"/>
      </font>
      <fill>
        <patternFill>
          <bgColor theme="0"/>
        </patternFill>
      </fill>
      <border>
        <left/>
        <right/>
        <top/>
        <bottom/>
      </border>
    </dxf>
    <dxf>
      <font>
        <b val="0"/>
        <i val="0"/>
        <strike val="0"/>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DCFF"/>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rgb="FFC00000"/>
      </font>
    </dxf>
    <dxf>
      <font>
        <color rgb="FFC00000"/>
      </font>
      <fill>
        <patternFill>
          <bgColor rgb="FFFFE6FF"/>
        </patternFill>
      </fill>
    </dxf>
    <dxf>
      <font>
        <color theme="0"/>
      </font>
      <fill>
        <patternFill patternType="none">
          <fgColor indexed="64"/>
          <bgColor auto="1"/>
        </patternFill>
      </fill>
      <border>
        <vertical/>
        <horizontal/>
      </border>
    </dxf>
    <dxf>
      <fill>
        <patternFill>
          <bgColor theme="9" tint="0.79998168889431442"/>
        </patternFill>
      </fill>
    </dxf>
    <dxf>
      <font>
        <color rgb="FFC00000"/>
      </font>
      <fill>
        <patternFill>
          <bgColor rgb="FFFFDCFF"/>
        </patternFill>
      </fill>
    </dxf>
    <dxf>
      <fill>
        <patternFill>
          <bgColor theme="9" tint="0.79998168889431442"/>
        </patternFill>
      </fill>
    </dxf>
    <dxf>
      <font>
        <color rgb="FFC00000"/>
      </font>
      <fill>
        <patternFill>
          <bgColor rgb="FFFFDCFF"/>
        </patternFill>
      </fill>
    </dxf>
    <dxf>
      <fill>
        <patternFill>
          <bgColor theme="9" tint="0.79998168889431442"/>
        </patternFill>
      </fill>
    </dxf>
    <dxf>
      <font>
        <color rgb="FFC00000"/>
      </font>
      <fill>
        <patternFill>
          <bgColor rgb="FFFFDC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bgColor theme="9" tint="0.79998168889431442"/>
        </patternFill>
      </fill>
    </dxf>
    <dxf>
      <font>
        <color rgb="FFC00000"/>
      </font>
      <fill>
        <patternFill>
          <bgColor rgb="FFFFDCFF"/>
        </patternFill>
      </fill>
    </dxf>
    <dxf>
      <fill>
        <patternFill>
          <bgColor rgb="FFE2EFDA"/>
        </patternFill>
      </fill>
    </dxf>
    <dxf>
      <font>
        <color rgb="FFC00000"/>
      </font>
      <fill>
        <patternFill>
          <bgColor rgb="FFFFDCFF"/>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font>
      <fill>
        <patternFill>
          <bgColor theme="0"/>
        </patternFill>
      </fill>
      <border>
        <left/>
        <right/>
        <top/>
        <bottom/>
      </border>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rgb="FFFFDC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rgb="FFFFDC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DCFF"/>
        </patternFill>
      </fill>
    </dxf>
    <dxf>
      <fill>
        <patternFill>
          <bgColor theme="9" tint="0.79998168889431442"/>
        </patternFill>
      </fill>
    </dxf>
    <dxf>
      <font>
        <color rgb="FFC00000"/>
      </font>
      <fill>
        <patternFill>
          <bgColor rgb="FFFFDC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rgb="FFFFDCFF"/>
        </patternFill>
      </fill>
    </dxf>
    <dxf>
      <font>
        <color theme="0"/>
      </font>
      <fill>
        <patternFill>
          <bgColor theme="0"/>
        </patternFill>
      </fill>
      <border>
        <left/>
        <right/>
        <top/>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bgColor rgb="FFCCFF99"/>
        </patternFill>
      </fill>
    </dxf>
    <dxf>
      <fill>
        <patternFill patternType="lightUp">
          <fgColor theme="0" tint="-0.499984740745262"/>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patternType="lightUp">
          <fgColor theme="0" tint="-0.24994659260841701"/>
          <bgColor auto="1"/>
        </patternFill>
      </fill>
    </dxf>
    <dxf>
      <fill>
        <patternFill>
          <bgColor theme="7" tint="0.59996337778862885"/>
        </patternFill>
      </fill>
    </dxf>
    <dxf>
      <fill>
        <patternFill>
          <bgColor theme="7" tint="0.59996337778862885"/>
        </patternFill>
      </fill>
    </dxf>
    <dxf>
      <font>
        <color theme="0"/>
      </font>
    </dxf>
    <dxf>
      <font>
        <color theme="0"/>
      </font>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CCFFCC"/>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font>
        <b/>
        <i val="0"/>
      </font>
    </dxf>
    <dxf>
      <font>
        <b/>
        <i val="0"/>
      </font>
    </dxf>
    <dxf>
      <border>
        <bottom style="dotted">
          <color auto="1"/>
        </bottom>
        <vertical/>
        <horizontal/>
      </border>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ont>
        <color rgb="FFC00000"/>
      </font>
      <fill>
        <patternFill>
          <bgColor rgb="FFFFDCFF"/>
        </patternFill>
      </fill>
    </dxf>
    <dxf>
      <font>
        <b/>
        <i/>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ill>
        <patternFill>
          <bgColor theme="7"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0"/>
      </font>
      <fill>
        <patternFill>
          <bgColor theme="0"/>
        </patternFill>
      </fill>
      <border>
        <left/>
        <right/>
        <top/>
        <bottom/>
        <vertical/>
        <horizontal/>
      </border>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DCFF"/>
        </patternFill>
      </fill>
    </dxf>
    <dxf>
      <fill>
        <patternFill patternType="darkUp">
          <fgColor theme="0" tint="-0.24994659260841701"/>
        </patternFill>
      </fill>
    </dxf>
    <dxf>
      <font>
        <color theme="0"/>
      </font>
      <fill>
        <patternFill>
          <bgColor theme="0"/>
        </patternFill>
      </fill>
      <border>
        <left/>
        <right/>
        <top/>
        <bottom/>
      </border>
    </dxf>
    <dxf>
      <font>
        <color rgb="FFC00000"/>
      </font>
      <fill>
        <patternFill>
          <bgColor rgb="FFFFDCFF"/>
        </patternFill>
      </fill>
    </dxf>
    <dxf>
      <font>
        <color rgb="FFC00000"/>
      </font>
      <fill>
        <patternFill>
          <bgColor rgb="FFFFDCFF"/>
        </patternFill>
      </fill>
    </dxf>
    <dxf>
      <font>
        <color rgb="FFC00000"/>
      </font>
      <fill>
        <patternFill>
          <bgColor rgb="FFFFDCFF"/>
        </patternFill>
      </fill>
    </dxf>
    <dxf>
      <font>
        <color rgb="FFC00000"/>
      </font>
      <fill>
        <patternFill>
          <bgColor rgb="FFFFDCFF"/>
        </patternFill>
      </fill>
    </dxf>
    <dxf>
      <font>
        <color rgb="FFC00000"/>
      </font>
      <fill>
        <patternFill>
          <bgColor rgb="FFFFDCFF"/>
        </patternFill>
      </fill>
    </dxf>
    <dxf>
      <font>
        <color rgb="FFC00000"/>
      </font>
      <fill>
        <patternFill>
          <bgColor rgb="FFFFDCFF"/>
        </patternFill>
      </fill>
    </dxf>
    <dxf>
      <font>
        <color rgb="FFC00000"/>
      </font>
      <fill>
        <patternFill>
          <bgColor rgb="FFFFDCFF"/>
        </patternFill>
      </fill>
    </dxf>
    <dxf>
      <font>
        <color rgb="FFC00000"/>
      </font>
      <fill>
        <patternFill>
          <bgColor rgb="FFFFDCFF"/>
        </patternFill>
      </fill>
    </dxf>
    <dxf>
      <font>
        <color rgb="FFC00000"/>
      </font>
      <fill>
        <patternFill>
          <bgColor rgb="FFFFDCFF"/>
        </patternFill>
      </fill>
    </dxf>
    <dxf>
      <font>
        <color rgb="FFC00000"/>
      </font>
      <fill>
        <patternFill>
          <bgColor rgb="FFFFDCFF"/>
        </patternFill>
      </fill>
    </dxf>
  </dxfs>
  <tableStyles count="0" defaultTableStyle="TableStyleMedium2" defaultPivotStyle="PivotStyleLight16"/>
  <colors>
    <mruColors>
      <color rgb="FF0000FF"/>
      <color rgb="FFEBEBEB"/>
      <color rgb="FFE1E1E1"/>
      <color rgb="FFFFFFCC"/>
      <color rgb="FFFFE6FF"/>
      <color rgb="FFFFCCFF"/>
      <color rgb="FFCCCCFF"/>
      <color rgb="FFE6E6E6"/>
      <color rgb="FFFF99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2.xml"/></Relationships>
</file>

<file path=xl/ctrlProps/ctrlProp1.xml><?xml version="1.0" encoding="utf-8"?>
<formControlPr xmlns="http://schemas.microsoft.com/office/spreadsheetml/2009/9/main" objectType="CheckBox" fmlaLink="ExcelCheckBox_LessThan80" lockText="1" noThreeD="1"/>
</file>

<file path=xl/ctrlProps/ctrlProp2.xml><?xml version="1.0" encoding="utf-8"?>
<formControlPr xmlns="http://schemas.microsoft.com/office/spreadsheetml/2009/9/main" objectType="CheckBox" fmlaLink="ExcelCheckBox_AtLeast80" lockText="1" noThreeD="1"/>
</file>

<file path=xl/ctrlProps/ctrlProp3.xml><?xml version="1.0" encoding="utf-8"?>
<formControlPr xmlns="http://schemas.microsoft.com/office/spreadsheetml/2009/9/main" objectType="CheckBox" fmlaLink="ExcelCheckBox_DC_Impaired" lockText="1" noThreeD="1"/>
</file>

<file path=xl/ctrlProps/ctrlProp4.xml><?xml version="1.0" encoding="utf-8"?>
<formControlPr xmlns="http://schemas.microsoft.com/office/spreadsheetml/2009/9/main" objectType="CheckBox" fmlaLink="ExcelCheckBox_SSI" lockText="1" noThreeD="1"/>
</file>

<file path=xl/ctrlProps/ctrlProp5.xml><?xml version="1.0" encoding="utf-8"?>
<formControlPr xmlns="http://schemas.microsoft.com/office/spreadsheetml/2009/9/main" objectType="CheckBox" fmlaLink="ExcelCheckBox_DC_Not_Impaired" lockText="1" noThreeD="1"/>
</file>

<file path=xl/ctrlProps/ctrlProp6.xml><?xml version="1.0" encoding="utf-8"?>
<formControlPr xmlns="http://schemas.microsoft.com/office/spreadsheetml/2009/9/main" objectType="CheckBox" fmlaLink="ExcelCheckBox_YouthAgingOut" lockText="1" noThreeD="1"/>
</file>

<file path=xl/ctrlProps/ctrlProp7.xml><?xml version="1.0" encoding="utf-8"?>
<formControlPr xmlns="http://schemas.microsoft.com/office/spreadsheetml/2009/9/main" objectType="CheckBox" fmlaLink="ExcelCheckBox_Survivors" lockText="1" noThreeD="1"/>
</file>

<file path=xl/ctrlProps/ctrlProp8.xml><?xml version="1.0" encoding="utf-8"?>
<formControlPr xmlns="http://schemas.microsoft.com/office/spreadsheetml/2009/9/main" objectType="CheckBox" fmlaLink="ExcelCheckbox_thermostat" lockText="1" noThreeD="1"/>
</file>

<file path=xl/ctrlProps/ctrlProp9.xml><?xml version="1.0" encoding="utf-8"?>
<formControlPr xmlns="http://schemas.microsoft.com/office/spreadsheetml/2009/9/main" objectType="CheckBox" fmlaLink="ExcelCheckbox_Humidistat" lockText="1" noThreeD="1"/>
</file>

<file path=xl/ctrlProps/ctrlProp10.xml><?xml version="1.0" encoding="utf-8"?>
<formControlPr xmlns="http://schemas.microsoft.com/office/spreadsheetml/2009/9/main" objectType="CheckBox" fmlaLink="ExcelCheckbox_dual_flush" lockText="1" noThreeD="1"/>
</file>

<file path=xl/ctrlProps/ctrlProp11.xml><?xml version="1.0" encoding="utf-8"?>
<formControlPr xmlns="http://schemas.microsoft.com/office/spreadsheetml/2009/9/main" objectType="CheckBox" fmlaLink="ExcelCheckbox_light_pavement" lockText="1" noThreeD="1"/>
</file>

<file path=xl/ctrlProps/ctrlProp12.xml><?xml version="1.0" encoding="utf-8"?>
<formControlPr xmlns="http://schemas.microsoft.com/office/spreadsheetml/2009/9/main" objectType="CheckBox" fmlaLink="ExcelCheckbox_ES_roof_coating" lockText="1" noThreeD="1"/>
</file>

<file path=xl/ctrlProps/ctrlProp13.xml><?xml version="1.0" encoding="utf-8"?>
<formControlPr xmlns="http://schemas.microsoft.com/office/spreadsheetml/2009/9/main" objectType="CheckBox" fmlaLink="ExcelCheckbox_ES_roof_materials" lockText="1" noThreeD="1"/>
</file>

<file path=xl/ctrlProps/ctrlProp14.xml><?xml version="1.0" encoding="utf-8"?>
<formControlPr xmlns="http://schemas.microsoft.com/office/spreadsheetml/2009/9/main" objectType="CheckBox" fmlaLink="ExcelCheckbox_cabinets" lockText="1" noThreeD="1"/>
</file>

<file path=xl/ctrlProps/ctrlProp15.xml><?xml version="1.0" encoding="utf-8"?>
<formControlPr xmlns="http://schemas.microsoft.com/office/spreadsheetml/2009/9/main" objectType="CheckBox" fmlaLink="ExcelCheckbox_flooring" lockText="1" noThreeD="1"/>
</file>

<file path=xl/ctrlProps/ctrlProp16.xml><?xml version="1.0" encoding="utf-8"?>
<formControlPr xmlns="http://schemas.microsoft.com/office/spreadsheetml/2009/9/main" objectType="CheckBox" fmlaLink="ExcelCheckbox_SEER_for_AC" lockText="1" noThreeD="1"/>
</file>

<file path=xl/ctrlProps/ctrlProp17.xml><?xml version="1.0" encoding="utf-8"?>
<formControlPr xmlns="http://schemas.microsoft.com/office/spreadsheetml/2009/9/main" objectType="CheckBox" fmlaLink="ExcelCheckbox_windows" lockText="1" noThreeD="1"/>
</file>

<file path=xl/ctrlProps/ctrlProp18.xml><?xml version="1.0" encoding="utf-8"?>
<formControlPr xmlns="http://schemas.microsoft.com/office/spreadsheetml/2009/9/main" objectType="CheckBox" fmlaLink="ExcelCheckbox_Yards" lockText="1" noThreeD="1"/>
</file>

<file path=xl/ctrlProps/ctrlProp19.xml><?xml version="1.0" encoding="utf-8"?>
<formControlPr xmlns="http://schemas.microsoft.com/office/spreadsheetml/2009/9/main" objectType="CheckBox" fmlaLink="ExcelCheckbox_sensors" lockText="1" noThreeD="1"/>
</file>

<file path=xl/ctrlProps/ctrlProp20.xml><?xml version="1.0" encoding="utf-8"?>
<formControlPr xmlns="http://schemas.microsoft.com/office/spreadsheetml/2009/9/main" objectType="CheckBox" fmlaLink="ExcelCheckbox_Coordination_Exp_3rd_party" lockText="1" noThreeD="1"/>
</file>

<file path=xl/ctrlProps/ctrlProp21.xml><?xml version="1.0" encoding="utf-8"?>
<formControlPr xmlns="http://schemas.microsoft.com/office/spreadsheetml/2009/9/main" objectType="CheckBox" fmlaLink="ExcelCheckbox_ExpApplicant" lockText="1" noThreeD="1"/>
</file>

<file path=xl/ctrlProps/ctrlProp22.xml><?xml version="1.0" encoding="utf-8"?>
<formControlPr xmlns="http://schemas.microsoft.com/office/spreadsheetml/2009/9/main" objectType="CheckBox" fmlaLink="ExcelCheckbox_Literacy_Family" lockText="1" noThreeD="1"/>
</file>

<file path=xl/ctrlProps/ctrlProp23.xml><?xml version="1.0" encoding="utf-8"?>
<formControlPr xmlns="http://schemas.microsoft.com/office/spreadsheetml/2009/9/main" objectType="CheckBox" fmlaLink="ExcelCheckbox_Employment_Assistance_general" lockText="1" noThreeD="1"/>
</file>

<file path=xl/ctrlProps/ctrlProp24.xml><?xml version="1.0" encoding="utf-8"?>
<formControlPr xmlns="http://schemas.microsoft.com/office/spreadsheetml/2009/9/main" objectType="CheckBox" fmlaLink="ExcelCheckbox_Family_Support_Coordinator" lockText="1" noThreeD="1"/>
</file>

<file path=xl/ctrlProps/ctrlProp25.xml><?xml version="1.0" encoding="utf-8"?>
<formControlPr xmlns="http://schemas.microsoft.com/office/spreadsheetml/2009/9/main" objectType="CheckBox" fmlaLink="ExcelCheckbox_Financial_Counseling" lockText="1" noThreeD="1"/>
</file>

<file path=xl/ctrlProps/ctrlProp26.xml><?xml version="1.0" encoding="utf-8"?>
<formControlPr xmlns="http://schemas.microsoft.com/office/spreadsheetml/2009/9/main" objectType="CheckBox" fmlaLink="ExcelCheckbox_Homeownership_seminar" lockText="1" noThreeD="1"/>
</file>

<file path=xl/ctrlProps/ctrlProp27.xml><?xml version="1.0" encoding="utf-8"?>
<formControlPr xmlns="http://schemas.microsoft.com/office/spreadsheetml/2009/9/main" objectType="CheckBox" fmlaLink="ExcelCheckbox_After_School" lockText="1" noThreeD="1"/>
</file>

<file path=xl/ctrlProps/ctrlProp28.xml><?xml version="1.0" encoding="utf-8"?>
<formControlPr xmlns="http://schemas.microsoft.com/office/spreadsheetml/2009/9/main" objectType="CheckBox" fmlaLink="ExcelCheckbox_Literacy_Elderly" lockText="1" noThreeD="1"/>
</file>

<file path=xl/ctrlProps/ctrlProp29.xml><?xml version="1.0" encoding="utf-8"?>
<formControlPr xmlns="http://schemas.microsoft.com/office/spreadsheetml/2009/9/main" objectType="CheckBox" fmlaLink="ExcelCheckbox_Computer_Training" lockText="1" noThreeD="1"/>
</file>

<file path=xl/ctrlProps/ctrlProp30.xml><?xml version="1.0" encoding="utf-8"?>
<formControlPr xmlns="http://schemas.microsoft.com/office/spreadsheetml/2009/9/main" objectType="CheckBox" fmlaLink="ExcelCheckbox_Daily_Activities" lockText="1" noThreeD="1"/>
</file>

<file path=xl/ctrlProps/ctrlProp31.xml><?xml version="1.0" encoding="utf-8"?>
<formControlPr xmlns="http://schemas.microsoft.com/office/spreadsheetml/2009/9/main" objectType="CheckBox" fmlaLink="ExcelCheckbox_Housekeeping" lockText="1" noThreeD="1"/>
</file>

<file path=xl/ctrlProps/ctrlProp32.xml><?xml version="1.0" encoding="utf-8"?>
<formControlPr xmlns="http://schemas.microsoft.com/office/spreadsheetml/2009/9/main" objectType="CheckBox" fmlaLink="ExcelCheckbox_Resident_checkin" lockText="1" noThreeD="1"/>
</file>

<file path=xl/ctrlProps/ctrlProp33.xml><?xml version="1.0" encoding="utf-8"?>
<formControlPr xmlns="http://schemas.microsoft.com/office/spreadsheetml/2009/9/main" objectType="CheckBox" fmlaLink="ExcelCheckBox_RD515" lockText="1" noThreeD="1"/>
</file>

<file path=xl/ctrlProps/ctrlProp34.xml><?xml version="1.0" encoding="utf-8"?>
<formControlPr xmlns="http://schemas.microsoft.com/office/spreadsheetml/2009/9/main" objectType="CheckBox" fmlaLink="ExcelCheckBox_RD53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7620</xdr:rowOff>
        </xdr:from>
        <xdr:to>
          <xdr:col>4</xdr:col>
          <xdr:colOff>144780</xdr:colOff>
          <xdr:row>13</xdr:row>
          <xdr:rowOff>236220</xdr:rowOff>
        </xdr:to>
        <xdr:sp macro="" textlink="">
          <xdr:nvSpPr>
            <xdr:cNvPr id="100354" name="Check Box 2" hidden="1">
              <a:extLst>
                <a:ext uri="{63B3BB69-23CF-44E3-9099-C40C66FF867C}">
                  <a14:compatExt spid="_x0000_s100354"/>
                </a:ext>
                <a:ext uri="{FF2B5EF4-FFF2-40B4-BE49-F238E27FC236}">
                  <a16:creationId xmlns:a16="http://schemas.microsoft.com/office/drawing/2014/main" id="{00000000-0008-0000-0700-000002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14</xdr:row>
          <xdr:rowOff>0</xdr:rowOff>
        </xdr:from>
        <xdr:to>
          <xdr:col>4</xdr:col>
          <xdr:colOff>144780</xdr:colOff>
          <xdr:row>14</xdr:row>
          <xdr:rowOff>228600</xdr:rowOff>
        </xdr:to>
        <xdr:sp macro="" textlink="">
          <xdr:nvSpPr>
            <xdr:cNvPr id="100355" name="Check Box 3" hidden="1">
              <a:extLst>
                <a:ext uri="{63B3BB69-23CF-44E3-9099-C40C66FF867C}">
                  <a14:compatExt spid="_x0000_s100355"/>
                </a:ext>
                <a:ext uri="{FF2B5EF4-FFF2-40B4-BE49-F238E27FC236}">
                  <a16:creationId xmlns:a16="http://schemas.microsoft.com/office/drawing/2014/main" id="{00000000-0008-0000-0700-000003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17</xdr:row>
          <xdr:rowOff>121920</xdr:rowOff>
        </xdr:from>
        <xdr:to>
          <xdr:col>4</xdr:col>
          <xdr:colOff>144780</xdr:colOff>
          <xdr:row>18</xdr:row>
          <xdr:rowOff>220980</xdr:rowOff>
        </xdr:to>
        <xdr:sp macro="" textlink="">
          <xdr:nvSpPr>
            <xdr:cNvPr id="100356" name="Check Box 4" hidden="1">
              <a:extLst>
                <a:ext uri="{63B3BB69-23CF-44E3-9099-C40C66FF867C}">
                  <a14:compatExt spid="_x0000_s100356"/>
                </a:ext>
                <a:ext uri="{FF2B5EF4-FFF2-40B4-BE49-F238E27FC236}">
                  <a16:creationId xmlns:a16="http://schemas.microsoft.com/office/drawing/2014/main" id="{00000000-0008-0000-0700-000004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xdr:row>
          <xdr:rowOff>373380</xdr:rowOff>
        </xdr:from>
        <xdr:to>
          <xdr:col>4</xdr:col>
          <xdr:colOff>144780</xdr:colOff>
          <xdr:row>19</xdr:row>
          <xdr:rowOff>220980</xdr:rowOff>
        </xdr:to>
        <xdr:sp macro="" textlink="">
          <xdr:nvSpPr>
            <xdr:cNvPr id="100357" name="Check Box 5" hidden="1">
              <a:extLst>
                <a:ext uri="{63B3BB69-23CF-44E3-9099-C40C66FF867C}">
                  <a14:compatExt spid="_x0000_s100357"/>
                </a:ext>
                <a:ext uri="{FF2B5EF4-FFF2-40B4-BE49-F238E27FC236}">
                  <a16:creationId xmlns:a16="http://schemas.microsoft.com/office/drawing/2014/main" id="{00000000-0008-0000-0700-000005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19</xdr:row>
          <xdr:rowOff>373380</xdr:rowOff>
        </xdr:from>
        <xdr:to>
          <xdr:col>4</xdr:col>
          <xdr:colOff>144780</xdr:colOff>
          <xdr:row>20</xdr:row>
          <xdr:rowOff>220980</xdr:rowOff>
        </xdr:to>
        <xdr:sp macro="" textlink="">
          <xdr:nvSpPr>
            <xdr:cNvPr id="100358" name="Check Box 6" hidden="1">
              <a:extLst>
                <a:ext uri="{63B3BB69-23CF-44E3-9099-C40C66FF867C}">
                  <a14:compatExt spid="_x0000_s100358"/>
                </a:ext>
                <a:ext uri="{FF2B5EF4-FFF2-40B4-BE49-F238E27FC236}">
                  <a16:creationId xmlns:a16="http://schemas.microsoft.com/office/drawing/2014/main" id="{00000000-0008-0000-0700-000006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533400</xdr:rowOff>
        </xdr:from>
        <xdr:to>
          <xdr:col>4</xdr:col>
          <xdr:colOff>152400</xdr:colOff>
          <xdr:row>21</xdr:row>
          <xdr:rowOff>213360</xdr:rowOff>
        </xdr:to>
        <xdr:sp macro="" textlink="">
          <xdr:nvSpPr>
            <xdr:cNvPr id="100359" name="Check Box 7" hidden="1">
              <a:extLst>
                <a:ext uri="{63B3BB69-23CF-44E3-9099-C40C66FF867C}">
                  <a14:compatExt spid="_x0000_s100359"/>
                </a:ext>
                <a:ext uri="{FF2B5EF4-FFF2-40B4-BE49-F238E27FC236}">
                  <a16:creationId xmlns:a16="http://schemas.microsoft.com/office/drawing/2014/main" id="{00000000-0008-0000-0700-000007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21</xdr:row>
          <xdr:rowOff>198120</xdr:rowOff>
        </xdr:from>
        <xdr:to>
          <xdr:col>4</xdr:col>
          <xdr:colOff>152400</xdr:colOff>
          <xdr:row>22</xdr:row>
          <xdr:rowOff>213360</xdr:rowOff>
        </xdr:to>
        <xdr:sp macro="" textlink="">
          <xdr:nvSpPr>
            <xdr:cNvPr id="100361" name="Check Box 9" hidden="1">
              <a:extLst>
                <a:ext uri="{63B3BB69-23CF-44E3-9099-C40C66FF867C}">
                  <a14:compatExt spid="_x0000_s100361"/>
                </a:ext>
                <a:ext uri="{FF2B5EF4-FFF2-40B4-BE49-F238E27FC236}">
                  <a16:creationId xmlns:a16="http://schemas.microsoft.com/office/drawing/2014/main" id="{00000000-0008-0000-0700-0000098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13</xdr:row>
          <xdr:rowOff>0</xdr:rowOff>
        </xdr:from>
        <xdr:to>
          <xdr:col>5</xdr:col>
          <xdr:colOff>68580</xdr:colOff>
          <xdr:row>14</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D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13</xdr:row>
          <xdr:rowOff>220980</xdr:rowOff>
        </xdr:from>
        <xdr:to>
          <xdr:col>5</xdr:col>
          <xdr:colOff>68580</xdr:colOff>
          <xdr:row>15</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D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14</xdr:row>
          <xdr:rowOff>220980</xdr:rowOff>
        </xdr:from>
        <xdr:to>
          <xdr:col>5</xdr:col>
          <xdr:colOff>68580</xdr:colOff>
          <xdr:row>16</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D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15</xdr:row>
          <xdr:rowOff>220980</xdr:rowOff>
        </xdr:from>
        <xdr:to>
          <xdr:col>5</xdr:col>
          <xdr:colOff>68580</xdr:colOff>
          <xdr:row>17</xdr:row>
          <xdr:rowOff>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D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220980</xdr:rowOff>
        </xdr:from>
        <xdr:to>
          <xdr:col>5</xdr:col>
          <xdr:colOff>68580</xdr:colOff>
          <xdr:row>18</xdr:row>
          <xdr:rowOff>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D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220980</xdr:rowOff>
        </xdr:from>
        <xdr:to>
          <xdr:col>5</xdr:col>
          <xdr:colOff>68580</xdr:colOff>
          <xdr:row>19</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D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220980</xdr:rowOff>
        </xdr:from>
        <xdr:to>
          <xdr:col>5</xdr:col>
          <xdr:colOff>68580</xdr:colOff>
          <xdr:row>19</xdr:row>
          <xdr:rowOff>220980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D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655320</xdr:rowOff>
        </xdr:from>
        <xdr:to>
          <xdr:col>5</xdr:col>
          <xdr:colOff>68580</xdr:colOff>
          <xdr:row>20</xdr:row>
          <xdr:rowOff>220980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D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449580</xdr:rowOff>
        </xdr:from>
        <xdr:to>
          <xdr:col>5</xdr:col>
          <xdr:colOff>68580</xdr:colOff>
          <xdr:row>22</xdr:row>
          <xdr:rowOff>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D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0</xdr:rowOff>
        </xdr:from>
        <xdr:to>
          <xdr:col>5</xdr:col>
          <xdr:colOff>68580</xdr:colOff>
          <xdr:row>23</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D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0</xdr:rowOff>
        </xdr:from>
        <xdr:to>
          <xdr:col>5</xdr:col>
          <xdr:colOff>68580</xdr:colOff>
          <xdr:row>28</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D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220980</xdr:rowOff>
        </xdr:from>
        <xdr:to>
          <xdr:col>5</xdr:col>
          <xdr:colOff>68580</xdr:colOff>
          <xdr:row>29</xdr:row>
          <xdr:rowOff>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D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3</xdr:col>
          <xdr:colOff>480060</xdr:colOff>
          <xdr:row>6</xdr:row>
          <xdr:rowOff>228600</xdr:rowOff>
        </xdr:to>
        <xdr:sp macro="" textlink="">
          <xdr:nvSpPr>
            <xdr:cNvPr id="116737" name="Check Box 1" hidden="1">
              <a:extLst>
                <a:ext uri="{63B3BB69-23CF-44E3-9099-C40C66FF867C}">
                  <a14:compatExt spid="_x0000_s116737"/>
                </a:ext>
                <a:ext uri="{FF2B5EF4-FFF2-40B4-BE49-F238E27FC236}">
                  <a16:creationId xmlns:a16="http://schemas.microsoft.com/office/drawing/2014/main" id="{00000000-0008-0000-0E00-000001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0</xdr:rowOff>
        </xdr:from>
        <xdr:to>
          <xdr:col>3</xdr:col>
          <xdr:colOff>480060</xdr:colOff>
          <xdr:row>7</xdr:row>
          <xdr:rowOff>228600</xdr:rowOff>
        </xdr:to>
        <xdr:sp macro="" textlink="">
          <xdr:nvSpPr>
            <xdr:cNvPr id="116738" name="Check Box 2" hidden="1">
              <a:extLst>
                <a:ext uri="{63B3BB69-23CF-44E3-9099-C40C66FF867C}">
                  <a14:compatExt spid="_x0000_s116738"/>
                </a:ext>
                <a:ext uri="{FF2B5EF4-FFF2-40B4-BE49-F238E27FC236}">
                  <a16:creationId xmlns:a16="http://schemas.microsoft.com/office/drawing/2014/main" id="{00000000-0008-0000-0E00-000002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5</xdr:row>
          <xdr:rowOff>0</xdr:rowOff>
        </xdr:from>
        <xdr:to>
          <xdr:col>4</xdr:col>
          <xdr:colOff>175260</xdr:colOff>
          <xdr:row>6</xdr:row>
          <xdr:rowOff>7620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F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4</xdr:col>
          <xdr:colOff>175260</xdr:colOff>
          <xdr:row>7</xdr:row>
          <xdr:rowOff>7620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F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0</xdr:rowOff>
        </xdr:from>
        <xdr:to>
          <xdr:col>4</xdr:col>
          <xdr:colOff>175260</xdr:colOff>
          <xdr:row>8</xdr:row>
          <xdr:rowOff>7620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F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8</xdr:row>
          <xdr:rowOff>0</xdr:rowOff>
        </xdr:from>
        <xdr:to>
          <xdr:col>4</xdr:col>
          <xdr:colOff>175260</xdr:colOff>
          <xdr:row>9</xdr:row>
          <xdr:rowOff>7620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F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xdr:row>
          <xdr:rowOff>213360</xdr:rowOff>
        </xdr:from>
        <xdr:to>
          <xdr:col>4</xdr:col>
          <xdr:colOff>160020</xdr:colOff>
          <xdr:row>10</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F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4</xdr:row>
          <xdr:rowOff>0</xdr:rowOff>
        </xdr:from>
        <xdr:to>
          <xdr:col>4</xdr:col>
          <xdr:colOff>175260</xdr:colOff>
          <xdr:row>5</xdr:row>
          <xdr:rowOff>7620</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F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7620</xdr:rowOff>
        </xdr:from>
        <xdr:to>
          <xdr:col>4</xdr:col>
          <xdr:colOff>160020</xdr:colOff>
          <xdr:row>17</xdr:row>
          <xdr:rowOff>22860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F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7620</xdr:rowOff>
        </xdr:from>
        <xdr:to>
          <xdr:col>4</xdr:col>
          <xdr:colOff>160020</xdr:colOff>
          <xdr:row>18</xdr:row>
          <xdr:rowOff>22860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F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7620</xdr:rowOff>
        </xdr:from>
        <xdr:to>
          <xdr:col>4</xdr:col>
          <xdr:colOff>160020</xdr:colOff>
          <xdr:row>19</xdr:row>
          <xdr:rowOff>22860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F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xdr:row>
          <xdr:rowOff>30480</xdr:rowOff>
        </xdr:from>
        <xdr:to>
          <xdr:col>4</xdr:col>
          <xdr:colOff>160020</xdr:colOff>
          <xdr:row>20</xdr:row>
          <xdr:rowOff>38100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F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7620</xdr:rowOff>
        </xdr:from>
        <xdr:to>
          <xdr:col>4</xdr:col>
          <xdr:colOff>160020</xdr:colOff>
          <xdr:row>21</xdr:row>
          <xdr:rowOff>22860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F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60960</xdr:colOff>
          <xdr:row>207</xdr:row>
          <xdr:rowOff>541020</xdr:rowOff>
        </xdr:from>
        <xdr:to>
          <xdr:col>4</xdr:col>
          <xdr:colOff>670560</xdr:colOff>
          <xdr:row>211</xdr:row>
          <xdr:rowOff>0</xdr:rowOff>
        </xdr:to>
        <xdr:sp macro="" textlink="">
          <xdr:nvSpPr>
            <xdr:cNvPr id="34823" name="Check Box 7" hidden="1">
              <a:extLst>
                <a:ext uri="{63B3BB69-23CF-44E3-9099-C40C66FF867C}">
                  <a14:compatExt spid="_x0000_s34823"/>
                </a:ext>
                <a:ext uri="{FF2B5EF4-FFF2-40B4-BE49-F238E27FC236}">
                  <a16:creationId xmlns:a16="http://schemas.microsoft.com/office/drawing/2014/main" id="{00000000-0008-0000-1000-00000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208</xdr:row>
          <xdr:rowOff>213360</xdr:rowOff>
        </xdr:from>
        <xdr:to>
          <xdr:col>4</xdr:col>
          <xdr:colOff>655320</xdr:colOff>
          <xdr:row>211</xdr:row>
          <xdr:rowOff>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0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fPrintsWithSheet="0"/>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12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5.bin"/><Relationship Id="rId1" Type="http://schemas.openxmlformats.org/officeDocument/2006/relationships/hyperlink" Target="https://support.office.com/en-us/f1/topic/aa1f3067-05c9-44e4-b141-f75bb9bb89bd?showContactUsNav=False&amp;ns=EXCEL&amp;version=90" TargetMode="Externa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6.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8.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3" Type="http://schemas.openxmlformats.org/officeDocument/2006/relationships/vmlDrawing" Target="../drawings/vmlDrawing7.vml"/><Relationship Id="rId7" Type="http://schemas.openxmlformats.org/officeDocument/2006/relationships/ctrlProp" Target="../ctrlProps/ctrlProp11.xml"/><Relationship Id="rId12" Type="http://schemas.openxmlformats.org/officeDocument/2006/relationships/ctrlProp" Target="../ctrlProps/ctrlProp16.xml"/><Relationship Id="rId2" Type="http://schemas.openxmlformats.org/officeDocument/2006/relationships/drawing" Target="../drawings/drawing2.xml"/><Relationship Id="rId1" Type="http://schemas.openxmlformats.org/officeDocument/2006/relationships/printerSettings" Target="../printerSettings/printerSettings14.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3.xml"/><Relationship Id="rId1" Type="http://schemas.openxmlformats.org/officeDocument/2006/relationships/printerSettings" Target="../printerSettings/printerSettings15.bin"/><Relationship Id="rId5" Type="http://schemas.openxmlformats.org/officeDocument/2006/relationships/ctrlProp" Target="../ctrlProps/ctrlProp21.xml"/><Relationship Id="rId4" Type="http://schemas.openxmlformats.org/officeDocument/2006/relationships/ctrlProp" Target="../ctrlProps/ctrlProp20.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vmlDrawing" Target="../drawings/vmlDrawing9.v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drawing" Target="../drawings/drawing4.xml"/><Relationship Id="rId1" Type="http://schemas.openxmlformats.org/officeDocument/2006/relationships/printerSettings" Target="../printerSettings/printerSettings16.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0" Type="http://schemas.openxmlformats.org/officeDocument/2006/relationships/ctrlProp" Target="../ctrlProps/ctrlProp28.xml"/><Relationship Id="rId4" Type="http://schemas.openxmlformats.org/officeDocument/2006/relationships/ctrlProp" Target="../ctrlProps/ctrlProp22.x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7.bin"/><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C018D-2B4E-4B9E-A538-F3225D1700B7}">
  <sheetPr codeName="Sheet17">
    <tabColor rgb="FF00B0F0"/>
  </sheetPr>
  <dimension ref="A1:Q75"/>
  <sheetViews>
    <sheetView showGridLines="0" workbookViewId="0">
      <selection activeCell="A48" sqref="A48"/>
    </sheetView>
  </sheetViews>
  <sheetFormatPr defaultRowHeight="14.4"/>
  <cols>
    <col min="1" max="2" width="2.6640625" customWidth="1"/>
    <col min="3" max="12" width="10.33203125" customWidth="1"/>
    <col min="15" max="16" width="3.5546875" customWidth="1"/>
    <col min="17" max="17" width="31.5546875" customWidth="1"/>
  </cols>
  <sheetData>
    <row r="1" spans="1:17" ht="35.85" customHeight="1" thickBot="1">
      <c r="A1" s="1714" t="s">
        <v>1551</v>
      </c>
      <c r="B1" s="1715"/>
      <c r="C1" s="1715"/>
      <c r="D1" s="1715"/>
      <c r="E1" s="1715"/>
      <c r="F1" s="1715"/>
      <c r="G1" s="1715"/>
      <c r="H1" s="1715"/>
      <c r="I1" s="1715"/>
      <c r="J1" s="1715"/>
      <c r="K1" s="1715"/>
      <c r="L1" s="1716"/>
    </row>
    <row r="3" spans="1:17">
      <c r="A3" s="1074" t="s">
        <v>1550</v>
      </c>
    </row>
    <row r="4" spans="1:17" ht="14.4" customHeight="1">
      <c r="B4" s="1073" t="s">
        <v>994</v>
      </c>
      <c r="C4" s="1072"/>
      <c r="D4" s="1072"/>
      <c r="E4" s="1072"/>
      <c r="F4" s="1072"/>
      <c r="G4" s="1072"/>
      <c r="H4" s="1072"/>
      <c r="I4" s="1072"/>
      <c r="O4" s="588">
        <v>1</v>
      </c>
      <c r="P4" s="1063">
        <f>IF(AND(O4&lt;&gt;0,J4&lt;&gt;""),O4,0)</f>
        <v>0</v>
      </c>
      <c r="Q4" s="1064" t="str">
        <f t="shared" ref="Q4" si="0">CHOOSE(O4+1,"Not to be included in this RFA","A REQUIRED input field for this RFA","An OPTIONAL input field for this RFA")</f>
        <v>A REQUIRED input field for this RFA</v>
      </c>
    </row>
    <row r="5" spans="1:17">
      <c r="C5" s="1711" t="str">
        <f>IF(LEFT(DS_Elig_Cert,1)=CHAR(149),RIGHT(DS_Elig_Cert,LEN(DS_Elig_Cert)-2),DS_Elig_Cert)</f>
        <v/>
      </c>
      <c r="D5" s="1711"/>
      <c r="E5" s="1711"/>
      <c r="F5" s="1711"/>
      <c r="G5" s="1711"/>
      <c r="H5" s="1711"/>
      <c r="I5" s="1711"/>
      <c r="J5" s="1711"/>
      <c r="K5" s="1711"/>
      <c r="L5" s="1711"/>
    </row>
    <row r="7" spans="1:17">
      <c r="A7" s="1075" t="s">
        <v>1552</v>
      </c>
      <c r="B7" s="1076"/>
      <c r="C7" s="1076"/>
      <c r="D7" s="1076"/>
      <c r="E7" s="1076"/>
      <c r="F7" s="1076"/>
      <c r="G7" s="1076"/>
      <c r="H7" s="1076"/>
      <c r="I7" s="1076"/>
      <c r="J7" s="1076"/>
      <c r="K7" s="1076"/>
      <c r="L7" s="1076"/>
    </row>
    <row r="8" spans="1:17">
      <c r="B8" s="108" t="s">
        <v>995</v>
      </c>
      <c r="O8" s="588">
        <v>1</v>
      </c>
      <c r="P8" s="1063">
        <f>IF(AND(O8&lt;&gt;0,J8&lt;&gt;""),O8,0)</f>
        <v>0</v>
      </c>
      <c r="Q8" s="1064" t="str">
        <f t="shared" ref="Q8" si="1">CHOOSE(O8+1,"Not to be included in this RFA","A REQUIRED input field for this RFA","An OPTIONAL input field for this RFA")</f>
        <v>A REQUIRED input field for this RFA</v>
      </c>
    </row>
    <row r="9" spans="1:17">
      <c r="C9" s="1711" t="str">
        <f>IF(LEFT(DS_Elig_Demo,1)=CHAR(149),RIGHT(DS_Elig_Demo,LEN(DS_Elig_Demo)-2),DS_Elig_Demo)</f>
        <v/>
      </c>
      <c r="D9" s="1711"/>
      <c r="E9" s="1711"/>
      <c r="F9" s="1711"/>
      <c r="G9" s="1711"/>
      <c r="H9" s="1711"/>
      <c r="I9" s="1711"/>
      <c r="J9" s="1711"/>
      <c r="K9" s="1711"/>
      <c r="L9" s="1711"/>
    </row>
    <row r="11" spans="1:17">
      <c r="A11" s="1075" t="str">
        <f>"Section 4.A.3."&amp;'General Information'!A$27&amp;"(1)(a)"</f>
        <v>Section 4.A.3.a.(1)(a)</v>
      </c>
      <c r="B11" s="1076"/>
      <c r="C11" s="1076"/>
      <c r="D11" s="1076"/>
      <c r="E11" s="1076"/>
      <c r="F11" s="1076"/>
      <c r="G11" s="1076"/>
      <c r="H11" s="1076"/>
      <c r="I11" s="1076"/>
      <c r="J11" s="1076"/>
      <c r="K11" s="1076"/>
      <c r="L11" s="1076"/>
    </row>
    <row r="12" spans="1:17">
      <c r="B12" t="s">
        <v>996</v>
      </c>
      <c r="O12" s="588">
        <v>1</v>
      </c>
      <c r="P12" s="1063">
        <f>IF(AND(O12&lt;&gt;0,J12&lt;&gt;""),O12,0)</f>
        <v>0</v>
      </c>
      <c r="Q12" s="1064" t="str">
        <f t="shared" ref="Q12" si="2">CHOOSE(O12+1,"Not to be included in this RFA","A REQUIRED input field for this RFA","An OPTIONAL input field for this RFA")</f>
        <v>A REQUIRED input field for this RFA</v>
      </c>
    </row>
    <row r="13" spans="1:17">
      <c r="C13" s="1711" t="str">
        <f>IF(LEFT(DS_Elig_App,1)=CHAR(149),RIGHT(DS_Elig_App,LEN(DS_Elig_App)-2),DS_Elig_App)</f>
        <v/>
      </c>
      <c r="D13" s="1711"/>
      <c r="E13" s="1711"/>
      <c r="F13" s="1711"/>
      <c r="G13" s="1711"/>
      <c r="H13" s="1711"/>
      <c r="I13" s="1711"/>
      <c r="J13" s="1711"/>
      <c r="K13" s="1711"/>
      <c r="L13" s="1711"/>
    </row>
    <row r="15" spans="1:17">
      <c r="A15" s="1075" t="str">
        <f>"Section 4.A.3."&amp;'General Information'!A$51&amp;".(1)"</f>
        <v>Section 4.A.3.b.(1)</v>
      </c>
      <c r="B15" s="1076"/>
      <c r="C15" s="1076"/>
      <c r="D15" s="1076"/>
      <c r="E15" s="1076"/>
      <c r="F15" s="1076"/>
      <c r="G15" s="1076"/>
      <c r="H15" s="1076"/>
      <c r="I15" s="1076"/>
      <c r="J15" s="1076"/>
      <c r="K15" s="1076"/>
      <c r="L15" s="1076"/>
    </row>
    <row r="16" spans="1:17">
      <c r="B16" t="s">
        <v>998</v>
      </c>
      <c r="O16" s="588">
        <v>1</v>
      </c>
      <c r="P16" s="1063">
        <f>IF(AND(O16&lt;&gt;0,J16&lt;&gt;""),O16,0)</f>
        <v>0</v>
      </c>
      <c r="Q16" s="1064" t="str">
        <f t="shared" ref="Q16" si="3">CHOOSE(O16+1,"Not to be included in this RFA","A REQUIRED input field for this RFA","An OPTIONAL input field for this RFA")</f>
        <v>A REQUIRED input field for this RFA</v>
      </c>
    </row>
    <row r="17" spans="1:17">
      <c r="C17" s="1711" t="str">
        <f>IF(LEFT(DS_Elig_Dev,1)=CHAR(149),RIGHT(DS_Elig_Dev,LEN(DS_Elig_Dev)-2),DS_Elig_Dev)</f>
        <v/>
      </c>
      <c r="D17" s="1711"/>
      <c r="E17" s="1711"/>
      <c r="F17" s="1711"/>
      <c r="G17" s="1711"/>
      <c r="H17" s="1711"/>
      <c r="I17" s="1711"/>
      <c r="J17" s="1711"/>
      <c r="K17" s="1711"/>
      <c r="L17" s="1711"/>
    </row>
    <row r="19" spans="1:17">
      <c r="A19" s="1075" t="str">
        <f>"Section 4.A.3."&amp;'General Information'!A$51&amp;".(3)(a)"</f>
        <v>Section 4.A.3.b.(3)(a)</v>
      </c>
      <c r="B19" s="1076"/>
      <c r="C19" s="1076"/>
      <c r="D19" s="1076"/>
      <c r="E19" s="1076"/>
      <c r="F19" s="1076"/>
      <c r="G19" s="1076"/>
      <c r="H19" s="1076"/>
      <c r="I19" s="1076"/>
      <c r="J19" s="1076"/>
      <c r="K19" s="1076"/>
      <c r="L19" s="1076"/>
    </row>
    <row r="20" spans="1:17">
      <c r="B20" t="s">
        <v>1553</v>
      </c>
      <c r="O20" s="588">
        <v>1</v>
      </c>
      <c r="P20" s="1063">
        <f>IF(AND(O20&lt;&gt;0,J20&lt;&gt;""),O20,0)</f>
        <v>0</v>
      </c>
      <c r="Q20" s="1064" t="str">
        <f t="shared" ref="Q20" si="4">CHOOSE(O20+1,"Not to be included in this RFA","A REQUIRED input field for this RFA","An OPTIONAL input field for this RFA")</f>
        <v>A REQUIRED input field for this RFA</v>
      </c>
    </row>
    <row r="21" spans="1:17">
      <c r="C21" s="1713" t="str">
        <f ca="1">IF(LEFT(DS_Elig_DevExp,1)=CHAR(149),RIGHT(DS_Elig_DevExp,LEN(DS_Elig_DevExp)-2),DS_Elig_DevExp)</f>
        <v/>
      </c>
      <c r="D21" s="1713"/>
      <c r="E21" s="1713"/>
      <c r="F21" s="1713"/>
      <c r="G21" s="1713"/>
      <c r="H21" s="1713"/>
      <c r="I21" s="1713"/>
      <c r="J21" s="1713"/>
      <c r="K21" s="1713"/>
      <c r="L21" s="1713"/>
    </row>
    <row r="22" spans="1:17">
      <c r="C22" s="1713"/>
      <c r="D22" s="1713"/>
      <c r="E22" s="1713"/>
      <c r="F22" s="1713"/>
      <c r="G22" s="1713"/>
      <c r="H22" s="1713"/>
      <c r="I22" s="1713"/>
      <c r="J22" s="1713"/>
      <c r="K22" s="1713"/>
      <c r="L22" s="1713"/>
    </row>
    <row r="23" spans="1:17">
      <c r="C23" s="1713"/>
      <c r="D23" s="1713"/>
      <c r="E23" s="1713"/>
      <c r="F23" s="1713"/>
      <c r="G23" s="1713"/>
      <c r="H23" s="1713"/>
      <c r="I23" s="1713"/>
      <c r="J23" s="1713"/>
      <c r="K23" s="1713"/>
      <c r="L23" s="1713"/>
    </row>
    <row r="25" spans="1:17">
      <c r="A25" s="1075" t="str">
        <f>"Section 4.A.3."&amp;'General Information'!A$105&amp;".(1)"</f>
        <v>Section 4.A.3.d.(1)</v>
      </c>
      <c r="B25" s="1076"/>
      <c r="C25" s="1076"/>
      <c r="D25" s="1076"/>
      <c r="E25" s="1076"/>
      <c r="F25" s="1076"/>
      <c r="G25" s="1076"/>
      <c r="H25" s="1076"/>
      <c r="I25" s="1076"/>
      <c r="J25" s="1076"/>
      <c r="K25" s="1076"/>
      <c r="L25" s="1076"/>
    </row>
    <row r="26" spans="1:17">
      <c r="B26" t="s">
        <v>1036</v>
      </c>
      <c r="O26" s="588">
        <v>1</v>
      </c>
      <c r="P26" s="1063">
        <f>IF(AND(O26&lt;&gt;0,J26&lt;&gt;""),O26,0)</f>
        <v>0</v>
      </c>
      <c r="Q26" s="1064" t="str">
        <f t="shared" ref="Q26" si="5">CHOOSE(O26+1,"Not to be included in this RFA","A REQUIRED input field for this RFA","An OPTIONAL input field for this RFA")</f>
        <v>A REQUIRED input field for this RFA</v>
      </c>
    </row>
    <row r="27" spans="1:17">
      <c r="C27" s="1711" t="str">
        <f>IF(LEFT(DS_Elig_Mgmt,1)=CHAR(149),RIGHT(DS_Elig_Mgmt,LEN(DS_Elig_Mgmt)-2),DS_Elig_Mgmt)</f>
        <v/>
      </c>
      <c r="D27" s="1711"/>
      <c r="E27" s="1711"/>
      <c r="F27" s="1711"/>
      <c r="G27" s="1711"/>
      <c r="H27" s="1711"/>
      <c r="I27" s="1711"/>
      <c r="J27" s="1711"/>
      <c r="K27" s="1711"/>
      <c r="L27" s="1711"/>
    </row>
    <row r="29" spans="1:17">
      <c r="B29" t="s">
        <v>1001</v>
      </c>
      <c r="O29" s="588">
        <v>1</v>
      </c>
      <c r="P29" s="1063">
        <f>IF(AND(O29&lt;&gt;0,J29&lt;&gt;""),O29,0)</f>
        <v>0</v>
      </c>
      <c r="Q29" s="1064" t="str">
        <f t="shared" ref="Q29" si="6">CHOOSE(O29+1,"Not to be included in this RFA","A REQUIRED input field for this RFA","An OPTIONAL input field for this RFA")</f>
        <v>A REQUIRED input field for this RFA</v>
      </c>
    </row>
    <row r="30" spans="1:17">
      <c r="C30" s="1711" t="str">
        <f>IF(LEFT(DS_Elig_MgmtContact,1)=CHAR(149),RIGHT(DS_Elig_MgmtContact,LEN(DS_Elig_MgmtContact)-2),DS_Elig_MgmtContact)</f>
        <v/>
      </c>
      <c r="D30" s="1711"/>
      <c r="E30" s="1711"/>
      <c r="F30" s="1711"/>
      <c r="G30" s="1711"/>
      <c r="H30" s="1711"/>
      <c r="I30" s="1711"/>
      <c r="J30" s="1711"/>
      <c r="K30" s="1711"/>
      <c r="L30" s="1711"/>
    </row>
    <row r="32" spans="1:17">
      <c r="B32" t="s">
        <v>1002</v>
      </c>
      <c r="O32" s="588">
        <v>1</v>
      </c>
      <c r="P32" s="1063">
        <f>IF(AND(O32&lt;&gt;0,J32&lt;&gt;""),O32,0)</f>
        <v>0</v>
      </c>
      <c r="Q32" s="1064" t="str">
        <f t="shared" ref="Q32" si="7">CHOOSE(O32+1,"Not to be included in this RFA","A REQUIRED input field for this RFA","An OPTIONAL input field for this RFA")</f>
        <v>A REQUIRED input field for this RFA</v>
      </c>
    </row>
    <row r="33" spans="1:17" ht="14.4" customHeight="1">
      <c r="C33" s="1713" t="str">
        <f>IF(LEFT(DS_Elig_MgmtExp,1)=CHAR(149),RIGHT(DS_Elig_MgmtExp,LEN(DS_Elig_MgmtExp)-2),DS_Elig_MgmtExp)</f>
        <v/>
      </c>
      <c r="D33" s="1713"/>
      <c r="E33" s="1713"/>
      <c r="F33" s="1713"/>
      <c r="G33" s="1713"/>
      <c r="H33" s="1713"/>
      <c r="I33" s="1713"/>
      <c r="J33" s="1713"/>
      <c r="K33" s="1713"/>
      <c r="L33" s="1713"/>
    </row>
    <row r="34" spans="1:17">
      <c r="C34" s="1713"/>
      <c r="D34" s="1713"/>
      <c r="E34" s="1713"/>
      <c r="F34" s="1713"/>
      <c r="G34" s="1713"/>
      <c r="H34" s="1713"/>
      <c r="I34" s="1713"/>
      <c r="J34" s="1713"/>
      <c r="K34" s="1713"/>
      <c r="L34" s="1713"/>
    </row>
    <row r="35" spans="1:17">
      <c r="C35" s="1078"/>
      <c r="D35" s="1078"/>
      <c r="E35" s="1078"/>
      <c r="F35" s="1078"/>
      <c r="G35" s="1078"/>
      <c r="H35" s="1078"/>
      <c r="I35" s="1078"/>
      <c r="J35" s="1078"/>
      <c r="K35" s="1078"/>
      <c r="L35" s="1078"/>
    </row>
    <row r="36" spans="1:17">
      <c r="A36" s="1075" t="str">
        <f>"Section 4.A.3."&amp;'General Information'!A$140&amp;".(1)"</f>
        <v>Section 4.A.3..(1)</v>
      </c>
      <c r="B36" s="1076"/>
      <c r="C36" s="1076"/>
      <c r="D36" s="1076"/>
      <c r="E36" s="1076"/>
      <c r="F36" s="1076"/>
      <c r="G36" s="1076"/>
      <c r="H36" s="1076"/>
      <c r="I36" s="1076"/>
      <c r="J36" s="1076"/>
      <c r="K36" s="1076"/>
      <c r="L36" s="1076"/>
    </row>
    <row r="37" spans="1:17">
      <c r="B37" t="s">
        <v>1003</v>
      </c>
      <c r="O37" s="588">
        <v>1</v>
      </c>
      <c r="P37" s="1063">
        <f>IF(AND(O37&lt;&gt;0,J37&lt;&gt;""),O37,0)</f>
        <v>0</v>
      </c>
      <c r="Q37" s="1064" t="str">
        <f t="shared" ref="Q37" si="8">CHOOSE(O37+1,"Not to be included in this RFA","A REQUIRED input field for this RFA","An OPTIONAL input field for this RFA")</f>
        <v>A REQUIRED input field for this RFA</v>
      </c>
    </row>
    <row r="38" spans="1:17">
      <c r="C38" s="1711" t="str">
        <f>IF(LEFT(DS_Elig_PrincRep,1)=CHAR(149),RIGHT(DS_Elig_PrincRep,LEN(DS_Elig_PrincRep)-2),DS_Elig_PrincRep)</f>
        <v/>
      </c>
      <c r="D38" s="1711"/>
      <c r="E38" s="1711"/>
      <c r="F38" s="1711"/>
      <c r="G38" s="1711"/>
      <c r="H38" s="1711"/>
      <c r="I38" s="1711"/>
      <c r="J38" s="1711"/>
      <c r="K38" s="1711"/>
      <c r="L38" s="1711"/>
    </row>
    <row r="40" spans="1:17">
      <c r="A40" s="1075" t="str">
        <f>"Section 4.A.4.(a)"</f>
        <v>Section 4.A.4.(a)</v>
      </c>
      <c r="B40" s="1076"/>
      <c r="C40" s="1076"/>
      <c r="D40" s="1076"/>
      <c r="E40" s="1076"/>
      <c r="F40" s="1076"/>
      <c r="G40" s="1076"/>
      <c r="H40" s="1076"/>
      <c r="I40" s="1076"/>
      <c r="J40" s="1076"/>
      <c r="K40" s="1076"/>
      <c r="L40" s="1076"/>
    </row>
    <row r="41" spans="1:17">
      <c r="B41" t="s">
        <v>1004</v>
      </c>
      <c r="O41" s="588">
        <v>1</v>
      </c>
      <c r="P41" s="1063">
        <f>IF(AND(O41&lt;&gt;0,J41&lt;&gt;""),O41,0)</f>
        <v>0</v>
      </c>
      <c r="Q41" s="1064" t="str">
        <f t="shared" ref="Q41" si="9">CHOOSE(O41+1,"Not to be included in this RFA","A REQUIRED input field for this RFA","An OPTIONAL input field for this RFA")</f>
        <v>A REQUIRED input field for this RFA</v>
      </c>
    </row>
    <row r="42" spans="1:17">
      <c r="C42" s="1711" t="str">
        <f>IF(LEFT(DS_Elig_PropDevName,1)=CHAR(149),RIGHT(DS_Elig_PropDevName,LEN(DS_Elig_PropDevName)-2),DS_Elig_PropDevName)</f>
        <v/>
      </c>
      <c r="D42" s="1711"/>
      <c r="E42" s="1711"/>
      <c r="F42" s="1711"/>
      <c r="G42" s="1711"/>
      <c r="H42" s="1711"/>
      <c r="I42" s="1711"/>
      <c r="J42" s="1711"/>
      <c r="K42" s="1711"/>
      <c r="L42" s="1711"/>
    </row>
    <row r="44" spans="1:17">
      <c r="A44" s="1075" t="str">
        <f>"Section 4.A.4.(b)(1)"</f>
        <v>Section 4.A.4.(b)(1)</v>
      </c>
      <c r="B44" s="1076"/>
      <c r="C44" s="1076"/>
      <c r="D44" s="1076"/>
      <c r="E44" s="1076"/>
      <c r="F44" s="1076"/>
      <c r="G44" s="1076"/>
      <c r="H44" s="1076"/>
      <c r="I44" s="1076"/>
      <c r="J44" s="1076"/>
      <c r="K44" s="1076"/>
      <c r="L44" s="1076"/>
    </row>
    <row r="45" spans="1:17">
      <c r="B45" t="s">
        <v>1005</v>
      </c>
      <c r="O45" s="588">
        <v>1</v>
      </c>
      <c r="P45" s="1063">
        <f>IF(AND(O45&lt;&gt;0,J45&lt;&gt;""),O45,0)</f>
        <v>0</v>
      </c>
      <c r="Q45" s="1064" t="str">
        <f t="shared" ref="Q45" si="10">CHOOSE(O45+1,"Not to be included in this RFA","A REQUIRED input field for this RFA","An OPTIONAL input field for this RFA")</f>
        <v>A REQUIRED input field for this RFA</v>
      </c>
    </row>
    <row r="46" spans="1:17">
      <c r="C46" s="1711" t="str">
        <f>IF(LEFT(DS_Elig_DevCat,1)=CHAR(149),RIGHT(DS_Elig_DevCat,LEN(DS_Elig_DevCat)-2),DS_Elig_DevCat)</f>
        <v/>
      </c>
      <c r="D46" s="1711"/>
      <c r="E46" s="1711"/>
      <c r="F46" s="1711"/>
      <c r="G46" s="1711"/>
      <c r="H46" s="1711"/>
      <c r="I46" s="1711"/>
      <c r="J46" s="1711"/>
      <c r="K46" s="1711"/>
      <c r="L46" s="1711"/>
    </row>
    <row r="48" spans="1:17">
      <c r="A48" s="1075" t="str">
        <f>"Section 4.A.4.(b)("&amp;'Proposed Development Info'!B8&amp;")"</f>
        <v>Section 4.A.4.(b)()</v>
      </c>
      <c r="B48" s="1076"/>
      <c r="C48" s="1076"/>
      <c r="D48" s="1076"/>
      <c r="E48" s="1076"/>
      <c r="F48" s="1076"/>
      <c r="G48" s="1076"/>
      <c r="H48" s="1076"/>
      <c r="I48" s="1076"/>
      <c r="J48" s="1076"/>
      <c r="K48" s="1076"/>
      <c r="L48" s="1076"/>
    </row>
    <row r="49" spans="1:17">
      <c r="B49" t="s">
        <v>1006</v>
      </c>
      <c r="O49" s="588">
        <v>1</v>
      </c>
      <c r="P49" s="1063">
        <f>IF(AND(O49&lt;&gt;0,J49&lt;&gt;""),O49,0)</f>
        <v>0</v>
      </c>
      <c r="Q49" s="1064" t="str">
        <f t="shared" ref="Q49" si="11">CHOOSE(O49+1,"Not to be included in this RFA","A REQUIRED input field for this RFA","An OPTIONAL input field for this RFA")</f>
        <v>A REQUIRED input field for this RFA</v>
      </c>
    </row>
    <row r="50" spans="1:17">
      <c r="C50" s="1713" t="str">
        <f>IF(LEFT(DS_Elig_DevCatMet,1)=CHAR(149),RIGHT(DS_Elig_DevCatMet,LEN(DS_Elig_DevCatMet)-2),DS_Elig_DevCatMet)</f>
        <v/>
      </c>
      <c r="D50" s="1713"/>
      <c r="E50" s="1713"/>
      <c r="F50" s="1713"/>
      <c r="G50" s="1713"/>
      <c r="H50" s="1713"/>
      <c r="I50" s="1713"/>
      <c r="J50" s="1713"/>
      <c r="K50" s="1713"/>
      <c r="L50" s="1713"/>
    </row>
    <row r="51" spans="1:17">
      <c r="C51" s="1713"/>
      <c r="D51" s="1713"/>
      <c r="E51" s="1713"/>
      <c r="F51" s="1713"/>
      <c r="G51" s="1713"/>
      <c r="H51" s="1713"/>
      <c r="I51" s="1713"/>
      <c r="J51" s="1713"/>
      <c r="K51" s="1713"/>
      <c r="L51" s="1713"/>
    </row>
    <row r="53" spans="1:17">
      <c r="A53" s="1075" t="str">
        <f>"Section 4.A.4."&amp;'Proposed Development Info'!A58&amp;"."</f>
        <v>Section 4.A.4.c.</v>
      </c>
      <c r="B53" s="1076"/>
      <c r="C53" s="1076"/>
      <c r="D53" s="1076"/>
      <c r="E53" s="1076"/>
      <c r="F53" s="1076"/>
      <c r="G53" s="1076"/>
      <c r="H53" s="1076"/>
      <c r="I53" s="1076"/>
      <c r="J53" s="1076"/>
      <c r="K53" s="1076"/>
      <c r="L53" s="1076"/>
    </row>
    <row r="54" spans="1:17">
      <c r="B54" t="s">
        <v>1007</v>
      </c>
      <c r="O54" s="397">
        <v>1</v>
      </c>
      <c r="P54" s="627">
        <f>IF(AND(O54&lt;&gt;0,J54&lt;&gt;""),O54,0)</f>
        <v>0</v>
      </c>
      <c r="Q54" s="1077" t="str">
        <f>CHOOSE(O54+1,"Not to be included in this RFA","A REQUIRED input field for this RFA","An OPTIONAL input field for this RFA")</f>
        <v>A REQUIRED input field for this RFA</v>
      </c>
    </row>
    <row r="55" spans="1:17">
      <c r="C55" s="1711" t="str">
        <f>IF(LEFT(DS_Elig_DevType,1)=CHAR(149),RIGHT(DS_Elig_DevType,LEN(DS_Elig_DevType)-2),DS_Elig_DevType)</f>
        <v/>
      </c>
      <c r="D55" s="1711"/>
      <c r="E55" s="1711"/>
      <c r="F55" s="1711"/>
      <c r="G55" s="1711"/>
      <c r="H55" s="1711"/>
      <c r="I55" s="1711"/>
      <c r="J55" s="1711"/>
      <c r="K55" s="1711"/>
      <c r="L55" s="1711"/>
    </row>
    <row r="57" spans="1:17">
      <c r="A57" s="1075" t="str">
        <f>"Section 4.A.4."&amp;'Proposed Development Info'!A67&amp;"."</f>
        <v>Section 4.A.4.d.</v>
      </c>
      <c r="B57" s="1076"/>
      <c r="C57" s="1076"/>
      <c r="D57" s="1076"/>
      <c r="E57" s="1076"/>
      <c r="F57" s="1076"/>
      <c r="G57" s="1076"/>
      <c r="H57" s="1076"/>
      <c r="I57" s="1076"/>
      <c r="J57" s="1076"/>
      <c r="K57" s="1076"/>
      <c r="L57" s="1076"/>
    </row>
    <row r="58" spans="1:17" ht="30" customHeight="1">
      <c r="B58" s="1712" t="s">
        <v>1008</v>
      </c>
      <c r="C58" s="1712"/>
      <c r="D58" s="1712"/>
      <c r="E58" s="1712"/>
      <c r="F58" s="1712"/>
      <c r="G58" s="1712"/>
      <c r="H58" s="1712"/>
      <c r="I58" s="1712"/>
      <c r="J58" s="1712"/>
      <c r="K58" s="1712"/>
      <c r="L58" s="1712"/>
      <c r="O58" s="397">
        <v>1</v>
      </c>
      <c r="P58" s="627">
        <f>IF(AND(O58&lt;&gt;0,J58&lt;&gt;""),O58,0)</f>
        <v>0</v>
      </c>
      <c r="Q58" s="1077" t="str">
        <f>CHOOSE(O58+1,"Not to be included in this RFA","A REQUIRED input field for this RFA","An OPTIONAL input field for this RFA")</f>
        <v>A REQUIRED input field for this RFA</v>
      </c>
    </row>
    <row r="59" spans="1:17">
      <c r="C59" s="1711" t="str">
        <f>IF(LEFT(DS_Elig_UnitTypes,1)=CHAR(149),RIGHT(DS_Elig_UnitTypes,LEN(DS_Elig_UnitTypes)-2),DS_Elig_UnitTypes)</f>
        <v/>
      </c>
      <c r="D59" s="1711"/>
      <c r="E59" s="1711"/>
      <c r="F59" s="1711"/>
      <c r="G59" s="1711"/>
      <c r="H59" s="1711"/>
      <c r="I59" s="1711"/>
      <c r="J59" s="1711"/>
      <c r="K59" s="1711"/>
      <c r="L59" s="1711"/>
    </row>
    <row r="61" spans="1:17">
      <c r="A61" s="1075" t="str">
        <f>"Section 4.A.5.a."</f>
        <v>Section 4.A.5.a.</v>
      </c>
      <c r="B61" s="1076"/>
      <c r="C61" s="1076"/>
      <c r="D61" s="1076"/>
      <c r="E61" s="1076"/>
      <c r="F61" s="1076"/>
      <c r="G61" s="1076"/>
      <c r="H61" s="1076"/>
      <c r="I61" s="1076"/>
      <c r="J61" s="1076"/>
      <c r="K61" s="1076"/>
      <c r="L61" s="1076"/>
    </row>
    <row r="62" spans="1:17">
      <c r="B62" t="s">
        <v>1009</v>
      </c>
      <c r="O62" s="397">
        <v>1</v>
      </c>
      <c r="P62" s="627">
        <f>IF(AND(O62&lt;&gt;0,J62&lt;&gt;""),O62,0)</f>
        <v>0</v>
      </c>
      <c r="Q62" s="1077" t="str">
        <f>CHOOSE(O62+1,"Not to be included in this RFA","A REQUIRED input field for this RFA","An OPTIONAL input field for this RFA")</f>
        <v>A REQUIRED input field for this RFA</v>
      </c>
    </row>
    <row r="63" spans="1:17">
      <c r="C63" s="1711" t="str">
        <f>IF(LEFT(DS_Elig_County,1)=CHAR(149),RIGHT(DS_Elig_County,LEN(DS_Elig_County)-2),DS_Elig_County)</f>
        <v/>
      </c>
      <c r="D63" s="1711"/>
      <c r="E63" s="1711"/>
      <c r="F63" s="1711"/>
      <c r="G63" s="1711"/>
      <c r="H63" s="1711"/>
      <c r="I63" s="1711"/>
      <c r="J63" s="1711"/>
      <c r="K63" s="1711"/>
      <c r="L63" s="1711"/>
    </row>
    <row r="65" spans="1:17">
      <c r="A65" s="1075" t="str">
        <f>"Section 4.A.5."&amp;'Development Location'!A9&amp;"."</f>
        <v>Section 4.A.5.b.</v>
      </c>
      <c r="B65" s="1076"/>
      <c r="C65" s="1076"/>
      <c r="D65" s="1076"/>
      <c r="E65" s="1076"/>
      <c r="F65" s="1076"/>
      <c r="G65" s="1076"/>
      <c r="H65" s="1076"/>
      <c r="I65" s="1076"/>
      <c r="J65" s="1076"/>
      <c r="K65" s="1076"/>
      <c r="L65" s="1076"/>
    </row>
    <row r="66" spans="1:17">
      <c r="B66" t="s">
        <v>1010</v>
      </c>
      <c r="O66" s="397">
        <v>1</v>
      </c>
      <c r="P66" s="627">
        <f>IF(AND(O66&lt;&gt;0,J66&lt;&gt;""),O66,0)</f>
        <v>0</v>
      </c>
      <c r="Q66" s="1077" t="str">
        <f>CHOOSE(O66+1,"Not to be included in this RFA","A REQUIRED input field for this RFA","An OPTIONAL input field for this RFA")</f>
        <v>A REQUIRED input field for this RFA</v>
      </c>
    </row>
    <row r="67" spans="1:17">
      <c r="C67" s="1711" t="str">
        <f>IF(LEFT(DS_Elig_Address,1)=CHAR(149),RIGHT(DS_Elig_Address,LEN(DS_Elig_Address)-2),DS_Elig_Address)</f>
        <v/>
      </c>
      <c r="D67" s="1711"/>
      <c r="E67" s="1711"/>
      <c r="F67" s="1711"/>
      <c r="G67" s="1711"/>
      <c r="H67" s="1711"/>
      <c r="I67" s="1711"/>
      <c r="J67" s="1711"/>
      <c r="K67" s="1711"/>
      <c r="L67" s="1711"/>
    </row>
    <row r="69" spans="1:17">
      <c r="A69" s="1075" t="str">
        <f>"Section 4.A.5."&amp;'Development Location'!A16&amp;".(1)"</f>
        <v>Section 4.A.5.c.(1)</v>
      </c>
      <c r="B69" s="1076"/>
      <c r="C69" s="1076"/>
      <c r="D69" s="1076"/>
      <c r="E69" s="1076"/>
      <c r="F69" s="1076"/>
      <c r="G69" s="1076"/>
      <c r="H69" s="1076"/>
      <c r="I69" s="1076"/>
      <c r="J69" s="1076"/>
      <c r="K69" s="1076"/>
      <c r="L69" s="1076"/>
    </row>
    <row r="70" spans="1:17">
      <c r="B70" t="s">
        <v>1011</v>
      </c>
      <c r="O70" s="397">
        <v>1</v>
      </c>
      <c r="P70" s="627">
        <f>IF(AND(O70&lt;&gt;0,J70&lt;&gt;""),O70,0)</f>
        <v>0</v>
      </c>
      <c r="Q70" s="1077" t="str">
        <f>CHOOSE(O70+1,"Not to be included in this RFA","A REQUIRED input field for this RFA","An OPTIONAL input field for this RFA")</f>
        <v>A REQUIRED input field for this RFA</v>
      </c>
    </row>
    <row r="71" spans="1:17">
      <c r="C71" s="1711" t="str">
        <f>IF(LEFT(DS_Elig_Scattered,1)=CHAR(149),RIGHT(DS_Elig_Scattered,LEN(DS_Elig_Scattered)-2),DS_Elig_Scattered)</f>
        <v/>
      </c>
      <c r="D71" s="1711"/>
      <c r="E71" s="1711"/>
      <c r="F71" s="1711"/>
      <c r="G71" s="1711"/>
      <c r="H71" s="1711"/>
      <c r="I71" s="1711"/>
      <c r="J71" s="1711"/>
      <c r="K71" s="1711"/>
      <c r="L71" s="1711"/>
    </row>
    <row r="73" spans="1:17">
      <c r="A73" s="1075" t="str">
        <f>"Section 4.A.5."&amp;'Development Location'!A20&amp;".(1)"</f>
        <v>Section 4.A.5.d.(1)</v>
      </c>
      <c r="B73" s="1076"/>
      <c r="C73" s="1076"/>
      <c r="D73" s="1076"/>
      <c r="E73" s="1076"/>
      <c r="F73" s="1076"/>
      <c r="G73" s="1076"/>
      <c r="H73" s="1076"/>
      <c r="I73" s="1076"/>
      <c r="J73" s="1076"/>
      <c r="K73" s="1076"/>
      <c r="L73" s="1076"/>
    </row>
    <row r="74" spans="1:17">
      <c r="B74" t="s">
        <v>1012</v>
      </c>
      <c r="O74" s="397">
        <v>1</v>
      </c>
      <c r="P74" s="627">
        <f>IF(AND(O74&lt;&gt;0,J74&lt;&gt;""),O74,0)</f>
        <v>0</v>
      </c>
      <c r="Q74" s="1077" t="str">
        <f>CHOOSE(O74+1,"Not to be included in this RFA","A REQUIRED input field for this RFA","An OPTIONAL input field for this RFA")</f>
        <v>A REQUIRED input field for this RFA</v>
      </c>
    </row>
    <row r="75" spans="1:17">
      <c r="C75" s="1711" t="str">
        <f>IF(LEFT(DS_Elig_LocPoint,1)=CHAR(149),RIGHT(DS_Elig_LocPoint,LEN(DS_Elig_LocPoint)-2),DS_Elig_LocPoint)</f>
        <v/>
      </c>
      <c r="D75" s="1711"/>
      <c r="E75" s="1711"/>
      <c r="F75" s="1711"/>
      <c r="G75" s="1711"/>
      <c r="H75" s="1711"/>
      <c r="I75" s="1711"/>
      <c r="J75" s="1711"/>
      <c r="K75" s="1711"/>
      <c r="L75" s="1711"/>
    </row>
  </sheetData>
  <sheetProtection algorithmName="SHA-512" hashValue="UOmkGI9XGD993Hv8WCS2Q0KKYyjf2Hl6kk1WikF3rZAZPS+jHZCj0Ar1IjbcJ2FKqP4Y0eoV+05vnXMfdVZIMg==" saltValue="P10hO3kre6zCHyqLNUugfA==" spinCount="100000" sheet="1" objects="1" scenarios="1" selectLockedCells="1"/>
  <mergeCells count="20">
    <mergeCell ref="C38:L38"/>
    <mergeCell ref="C42:L42"/>
    <mergeCell ref="C46:L46"/>
    <mergeCell ref="C50:L51"/>
    <mergeCell ref="A1:L1"/>
    <mergeCell ref="C5:L5"/>
    <mergeCell ref="C9:L9"/>
    <mergeCell ref="C33:L34"/>
    <mergeCell ref="C13:L13"/>
    <mergeCell ref="C17:L17"/>
    <mergeCell ref="C21:L23"/>
    <mergeCell ref="C27:L27"/>
    <mergeCell ref="C30:L30"/>
    <mergeCell ref="C71:L71"/>
    <mergeCell ref="C75:L75"/>
    <mergeCell ref="C55:L55"/>
    <mergeCell ref="B58:L58"/>
    <mergeCell ref="C59:L59"/>
    <mergeCell ref="C63:L63"/>
    <mergeCell ref="C67:L67"/>
  </mergeCells>
  <conditionalFormatting sqref="C5:L5 C9:L9 C13:L13 C17:L17 C21:L23 C27:L27 C30:L30 C71:L71">
    <cfRule type="expression" dxfId="781" priority="47">
      <formula>IFERROR(FIND(" NOT ",L12),0)+IFERROR(FIND(" not ",$C5),0)&gt;0</formula>
    </cfRule>
  </conditionalFormatting>
  <conditionalFormatting sqref="C33">
    <cfRule type="expression" dxfId="780" priority="46">
      <formula>IFERROR(FIND(" NOT ",L40),0)+IFERROR(FIND(" not ",$C33),0)&gt;0</formula>
    </cfRule>
  </conditionalFormatting>
  <conditionalFormatting sqref="C38:L38">
    <cfRule type="expression" dxfId="779" priority="28">
      <formula>IFERROR(FIND(" NOT ",L45),0)+IFERROR(FIND(" not ",$C38),0)&gt;0</formula>
    </cfRule>
  </conditionalFormatting>
  <conditionalFormatting sqref="C42:L42 D63:L63 C67:L67">
    <cfRule type="expression" dxfId="778" priority="27">
      <formula>IFERROR(FIND(" NOT ",L50),0)+IFERROR(FIND(" not ",$C42),0)&gt;0</formula>
    </cfRule>
  </conditionalFormatting>
  <conditionalFormatting sqref="C46:L46">
    <cfRule type="expression" dxfId="777" priority="26">
      <formula>IFERROR(FIND(" NOT ",L54),0)+IFERROR(FIND(" not ",$C46),0)&gt;0</formula>
    </cfRule>
  </conditionalFormatting>
  <conditionalFormatting sqref="C50">
    <cfRule type="expression" dxfId="776" priority="19">
      <formula>IFERROR(FIND(" NOT ",L58),0)+IFERROR(FIND(" not ",$C50),0)&gt;0</formula>
    </cfRule>
  </conditionalFormatting>
  <conditionalFormatting sqref="C55:L55">
    <cfRule type="expression" dxfId="775" priority="18">
      <formula>IFERROR(FIND(" NOT ",L63),0)+IFERROR(FIND(" not ",$C55),0)&gt;0</formula>
    </cfRule>
  </conditionalFormatting>
  <conditionalFormatting sqref="C59:L59">
    <cfRule type="expression" dxfId="774" priority="17">
      <formula>IFERROR(FIND(" NOT ",L67),0)+IFERROR(FIND(" not ",$C59),0)&gt;0</formula>
    </cfRule>
  </conditionalFormatting>
  <conditionalFormatting sqref="C63">
    <cfRule type="expression" dxfId="773" priority="892">
      <formula>IFERROR(FIND(" NOT ",#REF!),0)+IFERROR(FIND(" not ",$C63),0)&gt;0</formula>
    </cfRule>
  </conditionalFormatting>
  <conditionalFormatting sqref="C75:L75">
    <cfRule type="expression" dxfId="772" priority="13">
      <formula>IFERROR(FIND(" NOT ",L83),0)+IFERROR(FIND(" not ",$C75),0)&gt;0</formula>
    </cfRule>
  </conditionalFormatting>
  <dataValidations count="1">
    <dataValidation type="custom" allowBlank="1" showInputMessage="1" showErrorMessage="1" sqref="O4 O8 O12 O16 O20 O26 O29 O32 O37 O41 O45 O49 O54 O58 O62 O66 O70 O74" xr:uid="{98757AD1-A1F8-4304-9594-C5A78B528B73}">
      <formula1>AND(O4&gt;=0,O4&lt;3,O4=ROUND(O4,0))</formula1>
    </dataValidation>
  </dataValidations>
  <pageMargins left="0.7" right="0.7" top="0.75" bottom="0.75" header="0.3" footer="0.3"/>
  <pageSetup scale="8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999" id="{8324AADA-D436-46DD-BF09-AB2EECAFD8B1}">
            <xm:f>Data1!$E$500="Yes"</xm:f>
            <x14:dxf>
              <font>
                <color theme="0"/>
              </font>
              <fill>
                <patternFill>
                  <bgColor theme="0"/>
                </patternFill>
              </fill>
              <border>
                <left/>
                <right/>
                <top/>
                <bottom/>
              </border>
            </x14:dxf>
          </x14:cfRule>
          <xm:sqref>O4:Q4 O8:Q8 O12:Q12 O16:Q16 O20:Q20 O26:Q26 O29:Q29 O32:Q32 O37:Q37 O41:Q41 O45:Q45 O49:Q49 O54:Q54 O58:Q58 O62:Q62 O66:Q66 O70:Q70 O74:Q74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5CC70-69A0-4FFB-8151-BE7781DBEDC4}">
  <sheetPr codeName="Sheet16">
    <tabColor rgb="FFFF99FF"/>
  </sheetPr>
  <dimension ref="A1:AN78"/>
  <sheetViews>
    <sheetView showGridLines="0" zoomScaleNormal="100" workbookViewId="0">
      <pane xSplit="1" ySplit="3" topLeftCell="B29" activePane="bottomRight" state="frozen"/>
      <selection pane="topRight" activeCell="B1" sqref="B1"/>
      <selection pane="bottomLeft" activeCell="A4" sqref="A4"/>
      <selection pane="bottomRight" activeCell="J35" sqref="J35"/>
    </sheetView>
  </sheetViews>
  <sheetFormatPr defaultRowHeight="14.4"/>
  <cols>
    <col min="1" max="1" width="7.88671875" customWidth="1"/>
    <col min="2" max="2" width="11.44140625" customWidth="1"/>
    <col min="3" max="3" width="10.109375" customWidth="1"/>
    <col min="4" max="10" width="11.44140625" customWidth="1"/>
    <col min="11" max="11" width="4.88671875" customWidth="1"/>
    <col min="12" max="12" width="55.44140625" customWidth="1"/>
    <col min="13" max="13" width="3.88671875" customWidth="1"/>
    <col min="14" max="15" width="3.5546875" customWidth="1"/>
    <col min="16" max="16" width="23.44140625" customWidth="1"/>
    <col min="38" max="38" width="11.109375" customWidth="1"/>
    <col min="40" max="40" width="10.5546875" customWidth="1"/>
  </cols>
  <sheetData>
    <row r="1" spans="1:40" ht="35.85" customHeight="1" thickBot="1">
      <c r="A1" s="1714" t="s">
        <v>989</v>
      </c>
      <c r="B1" s="1715"/>
      <c r="C1" s="1715"/>
      <c r="D1" s="1715"/>
      <c r="E1" s="1715"/>
      <c r="F1" s="1715"/>
      <c r="G1" s="1715"/>
      <c r="H1" s="1715"/>
      <c r="I1" s="1715"/>
      <c r="J1" s="1715"/>
      <c r="K1" s="1716"/>
      <c r="L1" s="1735" t="s">
        <v>1420</v>
      </c>
    </row>
    <row r="2" spans="1:40">
      <c r="L2" s="1735"/>
    </row>
    <row r="3" spans="1:40">
      <c r="B3" s="1739" t="s">
        <v>990</v>
      </c>
      <c r="C3" s="1739"/>
      <c r="D3" s="1739"/>
      <c r="E3" s="1739"/>
      <c r="F3" s="1739"/>
      <c r="G3" s="1739"/>
      <c r="H3" s="1739"/>
      <c r="I3" s="1739"/>
      <c r="J3" s="516" t="s">
        <v>991</v>
      </c>
      <c r="L3" s="1735"/>
      <c r="S3" s="871" t="s">
        <v>1407</v>
      </c>
    </row>
    <row r="4" spans="1:40">
      <c r="A4" s="108"/>
      <c r="B4" s="1736" t="s">
        <v>992</v>
      </c>
      <c r="C4" s="1737"/>
      <c r="D4" s="1737"/>
      <c r="E4" s="1737"/>
      <c r="F4" s="1737"/>
      <c r="G4" s="1737"/>
      <c r="H4" s="1737"/>
      <c r="I4" s="1738"/>
      <c r="J4" s="635" t="str">
        <f>IF(Name_Of_Applicant="","",IF($N4=0,"NA","TBD"))</f>
        <v/>
      </c>
      <c r="K4" s="108"/>
      <c r="L4" s="819" t="str">
        <f>IF(Name_Of_Applicant="","",IF($N4=0,"NA",CHAR(149)&amp;" Needs to be scored after submission"))</f>
        <v/>
      </c>
      <c r="N4" s="588">
        <v>1</v>
      </c>
      <c r="O4" s="42"/>
      <c r="P4" s="14" t="str">
        <f>IF(N4="","",IF(N4=0,"Not ","")&amp;"Applicable to this RFA")</f>
        <v>Applicable to this RFA</v>
      </c>
      <c r="S4" s="1740" t="s">
        <v>1398</v>
      </c>
      <c r="T4" s="1740"/>
      <c r="U4" s="1740"/>
      <c r="V4" s="1740"/>
      <c r="W4" s="1740"/>
      <c r="X4" s="1740"/>
      <c r="Y4" s="1740"/>
      <c r="Z4" s="1740"/>
      <c r="AA4" s="1740"/>
      <c r="AB4" s="1740"/>
      <c r="AC4" s="1740"/>
      <c r="AD4" s="1740"/>
      <c r="AE4" s="1740"/>
      <c r="AF4" s="1740"/>
      <c r="AG4" s="1740"/>
      <c r="AH4" s="1740"/>
      <c r="AI4" s="1740"/>
      <c r="AJ4" s="1740"/>
      <c r="AK4" s="1740"/>
      <c r="AL4" s="1740"/>
      <c r="AM4" s="1740"/>
      <c r="AN4" s="1740"/>
    </row>
    <row r="5" spans="1:40">
      <c r="A5" s="108"/>
      <c r="B5" s="1717" t="s">
        <v>993</v>
      </c>
      <c r="C5" s="1718"/>
      <c r="D5" s="1718"/>
      <c r="E5" s="1718"/>
      <c r="F5" s="1718"/>
      <c r="G5" s="1718"/>
      <c r="H5" s="1718"/>
      <c r="I5" s="1719"/>
      <c r="J5" s="635" t="str">
        <f>IF(Name_Of_Applicant="","",IF($N5=0,"NA","TBD"))</f>
        <v/>
      </c>
      <c r="K5" s="108"/>
      <c r="L5" s="879" t="str">
        <f>IF(Name_Of_Applicant="","",IF($N5=0,"NA",CHAR(149)&amp;" Needs to be scored after submission"))</f>
        <v/>
      </c>
      <c r="N5" s="588">
        <v>1</v>
      </c>
      <c r="O5" s="42"/>
      <c r="P5" s="14" t="str">
        <f t="shared" ref="P5:P70" si="0">IF(N5="","",IF(N5=0,"Not ","")&amp;"Applicable to this RFA")</f>
        <v>Applicable to this RFA</v>
      </c>
      <c r="S5" s="1740" t="s">
        <v>1398</v>
      </c>
      <c r="T5" s="1740"/>
      <c r="U5" s="1740"/>
      <c r="V5" s="1740"/>
      <c r="W5" s="1740"/>
      <c r="X5" s="1740"/>
      <c r="Y5" s="1740"/>
      <c r="Z5" s="1740"/>
      <c r="AA5" s="1740"/>
      <c r="AB5" s="1740"/>
      <c r="AC5" s="1740"/>
      <c r="AD5" s="1740"/>
      <c r="AE5" s="1740"/>
      <c r="AF5" s="1740"/>
      <c r="AG5" s="1740"/>
      <c r="AH5" s="1740"/>
      <c r="AI5" s="1740"/>
      <c r="AJ5" s="1740"/>
      <c r="AK5" s="1740"/>
      <c r="AL5" s="1740"/>
      <c r="AM5" s="1740"/>
      <c r="AN5" s="1740"/>
    </row>
    <row r="6" spans="1:40">
      <c r="A6" s="108"/>
      <c r="B6" s="1717" t="s">
        <v>994</v>
      </c>
      <c r="C6" s="1718"/>
      <c r="D6" s="1718"/>
      <c r="E6" s="1718"/>
      <c r="F6" s="1718"/>
      <c r="G6" s="1718"/>
      <c r="H6" s="1718"/>
      <c r="I6" s="1719"/>
      <c r="J6" s="635" t="str">
        <f>IF(Name_Of_Applicant="","",IF($N6=0,"NA",IF(Cert_Signature=Data1!F142,"Matches","No")))</f>
        <v/>
      </c>
      <c r="K6" s="108"/>
      <c r="L6" s="879" t="str">
        <f>IF(Name_Of_Applicant="","",IF($N6=0,"NA",IF(OR(Cert_Signature="",Data1!F142=""),CHAR(149)&amp;" Input required",IF(Cert_Signature=Data1!F142,CHAR(149)&amp;" Names match, but still needs to be scored",CHAR(149)&amp;"  "&amp;IF(OR(Data1!F142=" ",Data1!F142=" "&amp;" "),"""&lt;no entry&gt;",""""&amp;Data1!F142)&amp;""" does not match """&amp;Cert_Signature&amp;""""))))</f>
        <v/>
      </c>
      <c r="N6" s="588">
        <v>1</v>
      </c>
      <c r="O6" s="42"/>
      <c r="P6" s="14" t="str">
        <f t="shared" si="0"/>
        <v>Applicable to this RFA</v>
      </c>
      <c r="S6" s="1742" t="s">
        <v>1395</v>
      </c>
      <c r="T6" s="1742"/>
      <c r="U6" s="1742"/>
      <c r="V6" s="1742"/>
      <c r="W6" s="1742"/>
      <c r="X6" s="1742"/>
      <c r="Y6" s="1742"/>
      <c r="Z6" s="1742"/>
      <c r="AA6" s="1742"/>
      <c r="AB6" s="1742"/>
      <c r="AC6" s="1742"/>
      <c r="AD6" s="1742"/>
      <c r="AE6" s="1742"/>
      <c r="AF6" s="1742"/>
      <c r="AG6" s="1742"/>
      <c r="AH6" s="1742"/>
      <c r="AI6" s="1742"/>
      <c r="AJ6" s="1742"/>
      <c r="AK6" s="1742"/>
      <c r="AL6" s="1742"/>
      <c r="AM6" s="1742"/>
      <c r="AN6" s="1742"/>
    </row>
    <row r="7" spans="1:40">
      <c r="A7" s="108"/>
      <c r="B7" s="1717" t="s">
        <v>995</v>
      </c>
      <c r="C7" s="1718"/>
      <c r="D7" s="1718"/>
      <c r="E7" s="1718"/>
      <c r="F7" s="1718"/>
      <c r="G7" s="1718"/>
      <c r="H7" s="1718"/>
      <c r="I7" s="1719"/>
      <c r="J7" s="523" t="str">
        <f>IF(Name_Of_Applicant="","",IF(OR($N7=0,'General Information'!$K10=0),"NA",IF(Demographic&lt;&gt;"&lt;select one&gt;","Yes","No")))</f>
        <v/>
      </c>
      <c r="K7" s="108"/>
      <c r="L7" s="879" t="str">
        <f>IF(Name_Of_Applicant="","",IF($N7=0,"NA",IF(J7="No",CHAR(149)&amp;" Question 4.A.2. not answered",IF(J7="Yes",CHAR(149)&amp;" Question 4.A.2. has an eligible response",""))))</f>
        <v/>
      </c>
      <c r="N7" s="588">
        <v>1</v>
      </c>
      <c r="O7" s="42"/>
      <c r="P7" s="14" t="str">
        <f t="shared" si="0"/>
        <v>Applicable to this RFA</v>
      </c>
      <c r="S7" s="1740" t="s">
        <v>1396</v>
      </c>
      <c r="T7" s="1740"/>
      <c r="U7" s="1740"/>
      <c r="V7" s="1740"/>
      <c r="W7" s="1740"/>
      <c r="X7" s="1740"/>
      <c r="Y7" s="1740"/>
      <c r="Z7" s="1740"/>
      <c r="AA7" s="1740"/>
      <c r="AB7" s="1740"/>
      <c r="AC7" s="1740"/>
      <c r="AD7" s="1740"/>
      <c r="AE7" s="1740"/>
      <c r="AF7" s="1740"/>
      <c r="AG7" s="1740"/>
      <c r="AH7" s="1740"/>
      <c r="AI7" s="1740"/>
      <c r="AJ7" s="1740"/>
      <c r="AK7" s="1740"/>
      <c r="AL7" s="1740"/>
      <c r="AM7" s="1740"/>
      <c r="AN7" s="1740"/>
    </row>
    <row r="8" spans="1:40">
      <c r="A8" s="108"/>
      <c r="B8" s="1717" t="s">
        <v>996</v>
      </c>
      <c r="C8" s="1718"/>
      <c r="D8" s="1718"/>
      <c r="E8" s="1718"/>
      <c r="F8" s="1718"/>
      <c r="G8" s="1718"/>
      <c r="H8" s="1718"/>
      <c r="I8" s="1719"/>
      <c r="J8" s="523" t="str">
        <f>IF(Name_Of_Applicant="","",IF(OR($N8=0,'General Information'!$K28=0),"NA",IF(Name_Of_Applicant&lt;&gt;"","Yes","No")))</f>
        <v/>
      </c>
      <c r="K8" s="108"/>
      <c r="L8" s="879" t="str">
        <f>IF(Name_Of_Applicant="","",IF($N8=0,"NA",IF(J8="No",CHAR(149)&amp;" Question 4.A.3."&amp;'General Information'!A27&amp;"(1) not answered",IF(J8="Yes",CHAR(149)&amp;" Question 4.A.3."&amp;'General Information'!A27&amp;"(1) has an eligible response",""))))</f>
        <v/>
      </c>
      <c r="N8" s="588">
        <v>1</v>
      </c>
      <c r="O8" s="42"/>
      <c r="P8" s="14" t="str">
        <f t="shared" si="0"/>
        <v>Applicable to this RFA</v>
      </c>
      <c r="S8" s="1740" t="s">
        <v>1397</v>
      </c>
      <c r="T8" s="1740"/>
      <c r="U8" s="1740"/>
      <c r="V8" s="1740"/>
      <c r="W8" s="1740"/>
      <c r="X8" s="1740"/>
      <c r="Y8" s="1740"/>
      <c r="Z8" s="1740"/>
      <c r="AA8" s="1740"/>
      <c r="AB8" s="1740"/>
      <c r="AC8" s="1740"/>
      <c r="AD8" s="1740"/>
      <c r="AE8" s="1740"/>
      <c r="AF8" s="1740"/>
      <c r="AG8" s="1740"/>
      <c r="AH8" s="1740"/>
      <c r="AI8" s="1740"/>
      <c r="AJ8" s="1740"/>
      <c r="AK8" s="1740"/>
      <c r="AL8" s="1740"/>
      <c r="AM8" s="1740"/>
      <c r="AN8" s="1740"/>
    </row>
    <row r="9" spans="1:40">
      <c r="A9" s="108"/>
      <c r="B9" s="1717" t="s">
        <v>997</v>
      </c>
      <c r="C9" s="1718"/>
      <c r="D9" s="1718"/>
      <c r="E9" s="1718"/>
      <c r="F9" s="1718"/>
      <c r="G9" s="1718"/>
      <c r="H9" s="1718"/>
      <c r="I9" s="1719"/>
      <c r="J9" s="635" t="str">
        <f>IF(Name_Of_Applicant="","",IF($N9=0,"NA","TBD"))</f>
        <v/>
      </c>
      <c r="K9" s="108"/>
      <c r="L9" s="879" t="str">
        <f>IF(Name_Of_Applicant="","",IF($N9=0,"NA",CHAR(149)&amp;" Needs to be scored after submission"))</f>
        <v/>
      </c>
      <c r="N9" s="588">
        <v>1</v>
      </c>
      <c r="O9" s="42"/>
      <c r="P9" s="14" t="str">
        <f t="shared" si="0"/>
        <v>Applicable to this RFA</v>
      </c>
      <c r="S9" s="1740" t="s">
        <v>1398</v>
      </c>
      <c r="T9" s="1740"/>
      <c r="U9" s="1740"/>
      <c r="V9" s="1740"/>
      <c r="W9" s="1740"/>
      <c r="X9" s="1740"/>
      <c r="Y9" s="1740"/>
      <c r="Z9" s="1740"/>
      <c r="AA9" s="1740"/>
      <c r="AB9" s="1740"/>
      <c r="AC9" s="1740"/>
      <c r="AD9" s="1740"/>
      <c r="AE9" s="1740"/>
      <c r="AF9" s="1740"/>
      <c r="AG9" s="1740"/>
      <c r="AH9" s="1740"/>
      <c r="AI9" s="1740"/>
      <c r="AJ9" s="1740"/>
      <c r="AK9" s="1740"/>
      <c r="AL9" s="1740"/>
      <c r="AM9" s="1740"/>
      <c r="AN9" s="1740"/>
    </row>
    <row r="10" spans="1:40">
      <c r="A10" s="108"/>
      <c r="B10" s="1717" t="s">
        <v>1557</v>
      </c>
      <c r="C10" s="1718"/>
      <c r="D10" s="1718"/>
      <c r="E10" s="1718"/>
      <c r="F10" s="1718"/>
      <c r="G10" s="1718"/>
      <c r="H10" s="1718"/>
      <c r="I10" s="1719"/>
      <c r="J10" s="523" t="str">
        <f>IF(Name_Of_Applicant="","",IF(OR($N10=0,'General Information'!$K53=0),"NA",IF(Name_Of_Developer_1&lt;&gt;"","Yes","No")))</f>
        <v/>
      </c>
      <c r="K10" s="108"/>
      <c r="L10" s="879" t="str">
        <f>IF(Name_Of_Applicant="","",IF($N10=0,"NA",IF(J10="No",CHAR(149)&amp;" First line in Question 4.A.3."&amp;'General Information'!A51&amp;".(1) not answered",IF(J10="Yes",CHAR(149)&amp;" First line in Question 4.A.3."&amp;'General Information'!A51&amp;".(1) has an eligible response",""))))</f>
        <v/>
      </c>
      <c r="N10" s="588">
        <v>1</v>
      </c>
      <c r="O10" s="42"/>
      <c r="P10" s="14" t="str">
        <f t="shared" si="0"/>
        <v>Applicable to this RFA</v>
      </c>
      <c r="S10" s="1740" t="s">
        <v>1399</v>
      </c>
      <c r="T10" s="1740"/>
      <c r="U10" s="1740"/>
      <c r="V10" s="1740"/>
      <c r="W10" s="1740"/>
      <c r="X10" s="1740"/>
      <c r="Y10" s="1740"/>
      <c r="Z10" s="1740"/>
      <c r="AA10" s="1740"/>
      <c r="AB10" s="1740"/>
      <c r="AC10" s="1740"/>
      <c r="AD10" s="1740"/>
      <c r="AE10" s="1740"/>
      <c r="AF10" s="1740"/>
      <c r="AG10" s="1740"/>
      <c r="AH10" s="1740"/>
      <c r="AI10" s="1740"/>
      <c r="AJ10" s="1740"/>
      <c r="AK10" s="1740"/>
      <c r="AL10" s="1740"/>
      <c r="AM10" s="1740"/>
      <c r="AN10" s="1740"/>
    </row>
    <row r="11" spans="1:40">
      <c r="A11" s="108"/>
      <c r="B11" s="1717" t="s">
        <v>999</v>
      </c>
      <c r="C11" s="1718"/>
      <c r="D11" s="1718"/>
      <c r="E11" s="1718"/>
      <c r="F11" s="1718"/>
      <c r="G11" s="1718"/>
      <c r="H11" s="1718"/>
      <c r="I11" s="1719"/>
      <c r="J11" s="635" t="str">
        <f>IF(Name_Of_Applicant="","",IF($N11=0,"NA","TBD"))</f>
        <v/>
      </c>
      <c r="K11" s="108"/>
      <c r="L11" s="879" t="str">
        <f>IF(Name_Of_Applicant="","",IF($N11=0,"NA",CHAR(149)&amp;" Needs to be scored after submission"))</f>
        <v/>
      </c>
      <c r="N11" s="588">
        <v>1</v>
      </c>
      <c r="O11" s="42"/>
      <c r="P11" s="14" t="str">
        <f t="shared" si="0"/>
        <v>Applicable to this RFA</v>
      </c>
      <c r="S11" s="1740" t="s">
        <v>1398</v>
      </c>
      <c r="T11" s="1740"/>
      <c r="U11" s="1740"/>
      <c r="V11" s="1740"/>
      <c r="W11" s="1740"/>
      <c r="X11" s="1740"/>
      <c r="Y11" s="1740"/>
      <c r="Z11" s="1740"/>
      <c r="AA11" s="1740"/>
      <c r="AB11" s="1740"/>
      <c r="AC11" s="1740"/>
      <c r="AD11" s="1740"/>
      <c r="AE11" s="1740"/>
      <c r="AF11" s="1740"/>
      <c r="AG11" s="1740"/>
      <c r="AH11" s="1740"/>
      <c r="AI11" s="1740"/>
      <c r="AJ11" s="1740"/>
      <c r="AK11" s="1740"/>
      <c r="AL11" s="1740"/>
      <c r="AM11" s="1740"/>
      <c r="AN11" s="1740"/>
    </row>
    <row r="12" spans="1:40" ht="78" customHeight="1">
      <c r="A12" s="1123"/>
      <c r="B12" s="1732" t="s">
        <v>1540</v>
      </c>
      <c r="C12" s="1733"/>
      <c r="D12" s="1733"/>
      <c r="E12" s="1733"/>
      <c r="F12" s="1733"/>
      <c r="G12" s="1733"/>
      <c r="H12" s="1733"/>
      <c r="I12" s="1734"/>
      <c r="J12" s="523" t="str">
        <f ca="1">IF(Name_Of_Applicant="","",IF(OR($N12=0,'General Information'!$K61=0),"NA",IF(AND(CHOOSE(DS_DevExpMinDevs_List,DevExp_first_Dev_name&lt;&gt;"",AND(DevExp_first_Dev_name&lt;&gt;"",DevExp_second_Dev_name&lt;&gt;""),AND(DevExp_first_Dev_name&lt;&gt;"",DevExp_second_Dev_name&lt;&gt;"",DevExp_third_Dev_name&lt;&gt;"")),DS_DevExpDateMinDevs&lt;=SUM(IF(AND('General Information'!K71=1,AND(DevExp_first_Dev_year&gt;=YEAR(DS_DevExpDate),DevExp_first_Dev_year&lt;YEAR(NOW())))=TRUE,1,0),IF(AND('General Information'!K80=1,AND(DevExp_second_Dev_year&gt;=YEAR(DS_DevExpDate),DevExp_second_Dev_year&lt;YEAR(NOW())))=TRUE,1,0),IF(AND('General Information'!K89=1,AND(DevExp_third_Dev_year&gt;=YEAR(DS_DevExpDate),DevExp_third_Dev_year&lt;YEAR(NOW())))=TRUE,1,0)),DS_DevExpPrgmMinDevs&lt;=SUM(IF(AND('General Information'!K68=1,DevExp_first_Dev_program=DS_DevExpPrgm),1,0),IF(AND('General Information'!K77=1,DevExp_second_Dev_program=DS_DevExpPrgm),1,0),IF(AND('General Information'!K86=1,DevExp_third_Dev_program=DS_DevExpPrgm),1,0)),DS_DevExpMinDevs_Units&lt;=SUM(IF(AND('General Information'!K70=1,DevExp_first_Dev_units&gt;=IF(DS_DevExpMinUnitsSelect="Number",DS_DevExpMinUnitsNumber,ROUNDUP(DS_DevExpMinUnitsPercent*Total_Units,0))),1,0),IF(AND('General Information'!K79=1,DevExp_second_Dev_units&gt;=IF(DS_DevExpMinUnitsSelect="Number",DS_DevExpMinUnitsNumber,ROUNDUP(DS_DevExpMinUnitsPercent*Total_Units,0))),1,0),IF(AND('General Information'!K88=1,DevExp_third_Dev_units&gt;=IF(DS_DevExpMinUnitsSelect="Number",DS_DevExpMinUnitsNumber,ROUNDUP(DS_DevExpMinUnitsPercent*Total_Units,0))),1,0))),"Yes","No")))</f>
        <v/>
      </c>
      <c r="K12" s="108"/>
      <c r="L12" s="1065" t="str">
        <f ca="1">IF(Name_Of_Applicant="","",IF($N12=0,"NA",IF(J12="No",CHAR(149)&amp;IF(CHOOSE(DS_DevExpMinDevs_List,DevExp_first_Dev_name&lt;&gt;"",AND(DevExp_first_Dev_name&lt;&gt;"",DevExp_second_Dev_name&lt;&gt;""),AND(DevExp_first_Dev_name&lt;&gt;"",DevExp_second_Dev_name&lt;&gt;"",DevExp_third_Dev_name&lt;&gt;"")),""," The minimum of "&amp;TEXT(DS_DevExpMinDevs_List,"0")&amp;" development"&amp;IF(DS_DevExpMinDevs_List&gt;1,"s were"," was")&amp;" not presented.")&amp;IF(DS_DevExpDateMinDevs&lt;=SUM(IF(AND('General Information'!K71=1,AND(DevExp_first_Dev_year&gt;=YEAR(DS_DevExpDate),DevExp_first_Dev_year&lt;YEAR(NOW())))=TRUE,1,0),IF(AND('General Information'!K80=1,AND(DevExp_second_Dev_year&gt;=YEAR(DS_DevExpDate),DevExp_second_Dev_year&lt;YEAR(NOW())))=TRUE,1,0),IF(AND('General Information'!K89=1,AND(DevExp_third_Dev_year&gt;=YEAR(DS_DevExpDate),DevExp_third_Dev_year&lt;YEAR(NOW())))=TRUE,1,0)),""," The minimum of "&amp;TEXT(DS_DevExpDateMinDevs,"0")&amp;" development"&amp;IF(DS_DevExpDateMinDevs&gt;1,"s have not met"," did not meet")&amp;" the completion date requirement.")&amp;IF(DS_DevExpPrgmMinDevs&lt;=SUM(IF(AND('General Information'!K68=1,DevExp_first_Dev_program=DS_DevExpPrgm),1,0),IF(AND('General Information'!K77=1,DevExp_second_Dev_program=DS_DevExpPrgm),1,0),IF(AND('General Information'!K86=1,DevExp_third_Dev_program=DS_DevExpPrgm),1,0)),""," The minimum of "&amp;TEXT(DS_DevExpPrgmMinDevs,"0")&amp;" development"&amp;IF(DS_DevExpPrgmMinDevs&gt;1,"s have not met"," did not meet")&amp;" the the prior program experience requirement.")&amp;IF(DS_DevExpMinDevs_Units&lt;=SUM(IF(AND('General Information'!K70=1,DevExp_first_Dev_units&gt;=IF(DS_DevExpMinUnitsSelect="Number",DS_DevExpMinUnitsNumber,ROUNDUP(DS_DevExpMinUnitsPercent*Total_Units,0))),1,0),IF(AND('General Information'!K79=1,DevExp_second_Dev_units&gt;=IF(DS_DevExpMinUnitsSelect="Number",DS_DevExpMinUnitsNumber,ROUNDUP(DS_DevExpMinUnitsPercent*Total_Units,0))),1,0),IF(AND('General Information'!K88=1,DevExp_third_Dev_units&gt;=IF(DS_DevExpMinUnitsSelect="Number",DS_DevExpMinUnitsNumber,ROUNDUP(DS_DevExpMinUnitsPercent*Total_Units,0))),1,0)),""," The minimum of "&amp;TEXT(DS_DevExpDateMinDevs,"0")&amp;" development"&amp;IF(DS_DevExpMinDevs_Units&gt;1,"s have not met"," did not meet")&amp;" the minimum unit requirement."),IF(J12="Yes",CHAR(149)&amp;" Meets minimum # of developments, date, subsidy program and unit requirments",""))))</f>
        <v/>
      </c>
      <c r="N12" s="588">
        <v>1</v>
      </c>
      <c r="O12" s="42"/>
      <c r="P12" s="14" t="str">
        <f t="shared" si="0"/>
        <v>Applicable to this RFA</v>
      </c>
      <c r="S12" s="1741" t="s">
        <v>1431</v>
      </c>
      <c r="T12" s="1741"/>
      <c r="U12" s="1741"/>
      <c r="V12" s="1741"/>
      <c r="W12" s="1741"/>
      <c r="X12" s="1741"/>
      <c r="Y12" s="1741"/>
      <c r="Z12" s="1741"/>
      <c r="AA12" s="1741"/>
      <c r="AB12" s="1741"/>
      <c r="AC12" s="1741"/>
      <c r="AD12" s="1741"/>
      <c r="AE12" s="1741"/>
      <c r="AF12" s="1741"/>
      <c r="AG12" s="1741"/>
      <c r="AH12" s="1741"/>
      <c r="AI12" s="1741"/>
      <c r="AJ12" s="1741"/>
      <c r="AK12" s="1741"/>
      <c r="AL12" s="1741"/>
      <c r="AM12" s="1741"/>
      <c r="AN12" s="1741"/>
    </row>
    <row r="13" spans="1:40">
      <c r="A13" s="108"/>
      <c r="B13" s="1717" t="s">
        <v>1000</v>
      </c>
      <c r="C13" s="1718"/>
      <c r="D13" s="1718"/>
      <c r="E13" s="1718"/>
      <c r="F13" s="1718"/>
      <c r="G13" s="1718"/>
      <c r="H13" s="1718"/>
      <c r="I13" s="1719"/>
      <c r="J13" s="635" t="str">
        <f>IF(Name_Of_Applicant="","",IF($N13=0,"NA","TBD"))</f>
        <v/>
      </c>
      <c r="K13" s="108"/>
      <c r="L13" s="879" t="str">
        <f>IF(Name_Of_Applicant="","",IF($N13=0,"NA",CHAR(149)&amp;" Needs to be scored after submission"))</f>
        <v/>
      </c>
      <c r="N13" s="588">
        <v>1</v>
      </c>
      <c r="O13" s="42"/>
      <c r="P13" s="14" t="str">
        <f t="shared" si="0"/>
        <v>Applicable to this RFA</v>
      </c>
      <c r="S13" s="1740" t="s">
        <v>1398</v>
      </c>
      <c r="T13" s="1740"/>
      <c r="U13" s="1740"/>
      <c r="V13" s="1740"/>
      <c r="W13" s="1740"/>
      <c r="X13" s="1740"/>
      <c r="Y13" s="1740"/>
      <c r="Z13" s="1740"/>
      <c r="AA13" s="1740"/>
      <c r="AB13" s="1740"/>
      <c r="AC13" s="1740"/>
      <c r="AD13" s="1740"/>
      <c r="AE13" s="1740"/>
      <c r="AF13" s="1740"/>
      <c r="AG13" s="1740"/>
      <c r="AH13" s="1740"/>
      <c r="AI13" s="1740"/>
      <c r="AJ13" s="1740"/>
      <c r="AK13" s="1740"/>
      <c r="AL13" s="1740"/>
      <c r="AM13" s="1740"/>
      <c r="AN13" s="1740"/>
    </row>
    <row r="14" spans="1:40" ht="14.4" customHeight="1">
      <c r="A14" s="108"/>
      <c r="B14" s="1717" t="s">
        <v>1036</v>
      </c>
      <c r="C14" s="1718"/>
      <c r="D14" s="1718"/>
      <c r="E14" s="1718"/>
      <c r="F14" s="1718"/>
      <c r="G14" s="1718"/>
      <c r="H14" s="1718"/>
      <c r="I14" s="1719"/>
      <c r="J14" s="523" t="str">
        <f>IF(Name_Of_Applicant="","",IF(OR($N14=0,'General Information'!$K109=0),"NA",IF(Name_of_Mgmt_Co&lt;&gt;"","Yes","No")))</f>
        <v/>
      </c>
      <c r="K14" s="108"/>
      <c r="L14" s="879" t="str">
        <f>IF(Name_Of_Applicant="","",IF($N14=0,"NA",IF(J14="No",CHAR(149)&amp;" First line in Question 4.A.3."&amp;'General Information'!A105&amp;".(1) not answered",IF(J14="Yes",CHAR(149)&amp;" First line in Question 4.A.3."&amp;'General Information'!A105&amp;".(1) has an eligible response",""))))</f>
        <v/>
      </c>
      <c r="N14" s="588">
        <v>1</v>
      </c>
      <c r="O14" s="42"/>
      <c r="P14" s="14" t="str">
        <f t="shared" si="0"/>
        <v>Applicable to this RFA</v>
      </c>
      <c r="S14" s="1740" t="s">
        <v>1400</v>
      </c>
      <c r="T14" s="1740"/>
      <c r="U14" s="1740"/>
      <c r="V14" s="1740"/>
      <c r="W14" s="1740"/>
      <c r="X14" s="1740"/>
      <c r="Y14" s="1740"/>
      <c r="Z14" s="1740"/>
      <c r="AA14" s="1740"/>
      <c r="AB14" s="1740"/>
      <c r="AC14" s="1740"/>
      <c r="AD14" s="1740"/>
      <c r="AE14" s="1740"/>
      <c r="AF14" s="1740"/>
      <c r="AG14" s="1740"/>
      <c r="AH14" s="1740"/>
      <c r="AI14" s="1740"/>
      <c r="AJ14" s="1740"/>
      <c r="AK14" s="1740"/>
      <c r="AL14" s="1740"/>
      <c r="AM14" s="1740"/>
      <c r="AN14" s="1740"/>
    </row>
    <row r="15" spans="1:40" ht="30" customHeight="1">
      <c r="A15" s="108"/>
      <c r="B15" s="1717" t="s">
        <v>1001</v>
      </c>
      <c r="C15" s="1718"/>
      <c r="D15" s="1718"/>
      <c r="E15" s="1718"/>
      <c r="F15" s="1718"/>
      <c r="G15" s="1718"/>
      <c r="H15" s="1718"/>
      <c r="I15" s="1719"/>
      <c r="J15" s="523" t="str">
        <f>IF(Name_Of_Applicant="","",IF(OR($N15=0,'General Information'!$K109=0),"NA",IF(AND(AND(IF('General Information'!$K109=0,TRUE,Name_of_Mgmt_Co&lt;&gt;""),IF('General Information'!$K110=0,TRUE,Mgmt_Co_Address&lt;&gt;""),IF('General Information'!$K111=0,TRUE,Mgmt_Co_City&lt;&gt;""),IF('General Information'!$K112=0,TRUE,Mgmt_Co_State&lt;&gt;"&lt;select one&gt;"),IF('General Information'!$K113=0,TRUE,Mgmt_Co_Zip_Code&lt;&gt;""),IF('General Information'!$K114=0,TRUE,Mgmt_Co_Phone&lt;&gt;""),IF('General Information'!$K115=0,TRUE,Mgmt_Co_Email&lt;&gt;""))),"Yes","No")))</f>
        <v/>
      </c>
      <c r="K15" s="108"/>
      <c r="L15" s="879" t="str">
        <f>IF(Name_Of_Applicant="","",IF($N15=0,"NA",IF(J15="No",CHAR(149)&amp;" Question 4.A.3."&amp;'General Information'!A105&amp;".(1) is not complete with "&amp;TEXT(SUM(Mgmt_InputReq)-SUM(Mgmt_InputTracking),"0")&amp;" of its 7 required responses missing",IF(J15="Yes",CHAR(149)&amp;" Question 4.A.3."&amp;'General Information'!A105&amp;".(1) has 7 required responses",""))))</f>
        <v/>
      </c>
      <c r="N15" s="588">
        <v>1</v>
      </c>
      <c r="O15" s="42"/>
      <c r="P15" s="14" t="str">
        <f t="shared" si="0"/>
        <v>Applicable to this RFA</v>
      </c>
      <c r="S15" s="1740" t="s">
        <v>1401</v>
      </c>
      <c r="T15" s="1740"/>
      <c r="U15" s="1740"/>
      <c r="V15" s="1740"/>
      <c r="W15" s="1740"/>
      <c r="X15" s="1740"/>
      <c r="Y15" s="1740"/>
      <c r="Z15" s="1740"/>
      <c r="AA15" s="1740"/>
      <c r="AB15" s="1740"/>
      <c r="AC15" s="1740"/>
      <c r="AD15" s="1740"/>
      <c r="AE15" s="1740"/>
      <c r="AF15" s="1740"/>
      <c r="AG15" s="1740"/>
      <c r="AH15" s="1740"/>
      <c r="AI15" s="1740"/>
      <c r="AJ15" s="1740"/>
      <c r="AK15" s="1740"/>
      <c r="AL15" s="1740"/>
      <c r="AM15" s="1740"/>
      <c r="AN15" s="1740"/>
    </row>
    <row r="16" spans="1:40" ht="65.25" customHeight="1">
      <c r="A16" s="108"/>
      <c r="B16" s="1717" t="s">
        <v>1002</v>
      </c>
      <c r="C16" s="1718"/>
      <c r="D16" s="1718"/>
      <c r="E16" s="1718"/>
      <c r="F16" s="1718"/>
      <c r="G16" s="1718"/>
      <c r="H16" s="1718"/>
      <c r="I16" s="1719"/>
      <c r="J16" s="635" t="str">
        <f>IF(Name_Of_Applicant="","",IF(OR($N16=0,'General Information'!$K118=0),"NA",IF(AND(CHOOSE(Data1!E137,Mgmt_Co_Exp_first_Dev_name&lt;&gt;"",AND(Mgmt_Co_Exp_first_Dev_name&lt;&gt;"",Mgmt_Co_Exp_second_Dev_name&lt;&gt;"")),OR(AND('General Information'!K125=1,Mgmt_Co_Exp_first_time&gt;=Data1!E139),AND('General Information'!K133=1,Mgmt_Co_Exp_second_time&gt;=Data1!E139)),OR(AND('General Information'!K126=1,Mgmt_Co_Exp_first_units&gt;=ROUNDUP(Data1!E138*Total_Units,0)),AND('General Information'!K134=1,Mgmt_Co_Exp_second_units&gt;=ROUNDUP(Data1!E138*Total_Units,0)))),"Yes","No")))</f>
        <v/>
      </c>
      <c r="K16" s="108"/>
      <c r="L16" s="880" t="str">
        <f>IF(Name_Of_Applicant="","",IF($N16=0,"NA",IF(J16="No",CHAR(149)&amp;IF(CHOOSE(Data1!E137,Mgmt_Co_Exp_first_Dev_name&lt;&gt;"",AND(Mgmt_Co_Exp_first_Dev_name&lt;&gt;"",Mgmt_Co_Exp_second_Dev_name&lt;&gt;"")),""," The minimum # of developments were not provided.")&amp;IF(OR(AND('General Information'!K125=1,Mgmt_Co_Exp_first_time&gt;=Data1!E139),AND('General Information'!K133=1,Mgmt_Co_Exp_second_time&gt;=Data1!E139)),""," The minimum time-managed requirement was not met by any development listed.")&amp;IF(OR(AND('General Information'!K126=1,Mgmt_Co_Exp_first_units&gt;=ROUNDUP(Data1!E138*Total_Units,0)),AND('General Information'!K134=1,Mgmt_Co_Exp_second_units&gt;=ROUNDUP(Data1!E138*Total_Units,0))),""," The minimum unit requirement was not met by any development listed."),CHAR(149)&amp;" Meets minimum # of developments, time-managed and unit requirments.")))</f>
        <v/>
      </c>
      <c r="N16" s="588">
        <v>1</v>
      </c>
      <c r="O16" s="42"/>
      <c r="P16" s="14" t="str">
        <f t="shared" si="0"/>
        <v>Applicable to this RFA</v>
      </c>
      <c r="S16" s="1740" t="s">
        <v>1432</v>
      </c>
      <c r="T16" s="1740"/>
      <c r="U16" s="1740"/>
      <c r="V16" s="1740"/>
      <c r="W16" s="1740"/>
      <c r="X16" s="1740"/>
      <c r="Y16" s="1740"/>
      <c r="Z16" s="1740"/>
      <c r="AA16" s="1740"/>
      <c r="AB16" s="1740"/>
      <c r="AC16" s="1740"/>
      <c r="AD16" s="1740"/>
      <c r="AE16" s="1740"/>
      <c r="AF16" s="1740"/>
      <c r="AG16" s="1740"/>
      <c r="AH16" s="1740"/>
      <c r="AI16" s="1740"/>
      <c r="AJ16" s="1740"/>
      <c r="AK16" s="1740"/>
      <c r="AL16" s="1740"/>
      <c r="AM16" s="1740"/>
      <c r="AN16" s="1740"/>
    </row>
    <row r="17" spans="1:40" ht="32.25" customHeight="1">
      <c r="A17" s="108"/>
      <c r="B17" s="1717" t="s">
        <v>1003</v>
      </c>
      <c r="C17" s="1718"/>
      <c r="D17" s="1718"/>
      <c r="E17" s="1718"/>
      <c r="F17" s="1718"/>
      <c r="G17" s="1718"/>
      <c r="H17" s="1718"/>
      <c r="I17" s="1719"/>
      <c r="J17" s="635" t="str">
        <f>IF(Name_Of_Applicant="","",IF(OR($N17=0,'General Information'!$K143=0),"NA",IF(AND('General Information'!K142=1,LEN(_xlfn.CONCAT(DS_Authorized_Contact_Full_Name))&lt;&gt;1),"Yes","No")))</f>
        <v/>
      </c>
      <c r="K17" s="630"/>
      <c r="L17" s="879" t="str">
        <f>IF(Name_Of_Applicant="","",IF($N17=0,"NA",IF(J17="No",CHAR(149)&amp;" A name has not been entered",IF(J17="Yes",CHAR(149)&amp;" A response has been provided but will need to be scored",""))))</f>
        <v/>
      </c>
      <c r="N17" s="588">
        <v>1</v>
      </c>
      <c r="O17" s="42"/>
      <c r="P17" s="14" t="str">
        <f t="shared" si="0"/>
        <v>Applicable to this RFA</v>
      </c>
      <c r="S17" s="1740" t="s">
        <v>1402</v>
      </c>
      <c r="T17" s="1740"/>
      <c r="U17" s="1740"/>
      <c r="V17" s="1740"/>
      <c r="W17" s="1740"/>
      <c r="X17" s="1740"/>
      <c r="Y17" s="1740"/>
      <c r="Z17" s="1740"/>
      <c r="AA17" s="1740"/>
      <c r="AB17" s="1740"/>
      <c r="AC17" s="1740"/>
      <c r="AD17" s="1740"/>
      <c r="AE17" s="1740"/>
      <c r="AF17" s="1740"/>
      <c r="AG17" s="1740"/>
      <c r="AH17" s="1740"/>
      <c r="AI17" s="1740"/>
      <c r="AJ17" s="1740"/>
      <c r="AK17" s="1740"/>
      <c r="AL17" s="1740"/>
      <c r="AM17" s="1740"/>
      <c r="AN17" s="1740"/>
    </row>
    <row r="18" spans="1:40">
      <c r="A18" s="108"/>
      <c r="B18" s="1717" t="s">
        <v>1004</v>
      </c>
      <c r="C18" s="1718"/>
      <c r="D18" s="1718"/>
      <c r="E18" s="1718"/>
      <c r="F18" s="1718"/>
      <c r="G18" s="1718"/>
      <c r="H18" s="1718"/>
      <c r="I18" s="1719"/>
      <c r="J18" s="523" t="str">
        <f>IF(Name_Of_Applicant="","",IF(OR($N18=0,'Proposed Development Info'!$K3=0),"NA",IF(Name_of_proposed_Development&lt;&gt;"","Yes","No")))</f>
        <v/>
      </c>
      <c r="K18" s="108"/>
      <c r="L18" s="879" t="str">
        <f>IF(Name_Of_Applicant="","",IF($N18=0,"NA",IF(J18="No",CHAR(149)&amp;" Question 4.A.4."&amp;'Proposed Development Info'!A3&amp;" not answered",IF(J18="Yes",CHAR(149)&amp;" Question 4.A.4."&amp;'Proposed Development Info'!A3&amp;" has an eligible response",""))))</f>
        <v/>
      </c>
      <c r="N18" s="588">
        <v>1</v>
      </c>
      <c r="O18" s="42"/>
      <c r="P18" s="14" t="str">
        <f t="shared" si="0"/>
        <v>Applicable to this RFA</v>
      </c>
      <c r="S18" s="1740" t="s">
        <v>1403</v>
      </c>
      <c r="T18" s="1740"/>
      <c r="U18" s="1740"/>
      <c r="V18" s="1740"/>
      <c r="W18" s="1740"/>
      <c r="X18" s="1740"/>
      <c r="Y18" s="1740"/>
      <c r="Z18" s="1740"/>
      <c r="AA18" s="1740"/>
      <c r="AB18" s="1740"/>
      <c r="AC18" s="1740"/>
      <c r="AD18" s="1740"/>
      <c r="AE18" s="1740"/>
      <c r="AF18" s="1740"/>
      <c r="AG18" s="1740"/>
      <c r="AH18" s="1740"/>
      <c r="AI18" s="1740"/>
      <c r="AJ18" s="1740"/>
      <c r="AK18" s="1740"/>
      <c r="AL18" s="1740"/>
      <c r="AM18" s="1740"/>
      <c r="AN18" s="1740"/>
    </row>
    <row r="19" spans="1:40">
      <c r="A19" s="108"/>
      <c r="B19" s="1717" t="s">
        <v>1005</v>
      </c>
      <c r="C19" s="1718"/>
      <c r="D19" s="1718"/>
      <c r="E19" s="1718"/>
      <c r="F19" s="1718"/>
      <c r="G19" s="1718"/>
      <c r="H19" s="1718"/>
      <c r="I19" s="1719"/>
      <c r="J19" s="523" t="str">
        <f>IF(Name_Of_Applicant="","",IF(OR($N19=0,'Proposed Development Info'!$K6=0),"NA",IF(Development_Category&lt;&gt;"&lt;select one&gt;","Yes","No")))</f>
        <v/>
      </c>
      <c r="K19" s="108"/>
      <c r="L19" s="879" t="str">
        <f>IF(Name_Of_Applicant="","",IF($N19=0,"NA",IF(J19="No",CHAR(149)&amp;" Question 4.A.4."&amp;'Proposed Development Info'!A5&amp;"(1) not answered",IF(J19="Yes",CHAR(149)&amp;" Question 4.A.4."&amp;'Proposed Development Info'!A5&amp;"(1) has an eligible response",""))))</f>
        <v/>
      </c>
      <c r="N19" s="588">
        <v>1</v>
      </c>
      <c r="O19" s="42"/>
      <c r="P19" s="14" t="str">
        <f t="shared" si="0"/>
        <v>Applicable to this RFA</v>
      </c>
      <c r="S19" s="1740" t="s">
        <v>1404</v>
      </c>
      <c r="T19" s="1740"/>
      <c r="U19" s="1740"/>
      <c r="V19" s="1740"/>
      <c r="W19" s="1740"/>
      <c r="X19" s="1740"/>
      <c r="Y19" s="1740"/>
      <c r="Z19" s="1740"/>
      <c r="AA19" s="1740"/>
      <c r="AB19" s="1740"/>
      <c r="AC19" s="1740"/>
      <c r="AD19" s="1740"/>
      <c r="AE19" s="1740"/>
      <c r="AF19" s="1740"/>
      <c r="AG19" s="1740"/>
      <c r="AH19" s="1740"/>
      <c r="AI19" s="1740"/>
      <c r="AJ19" s="1740"/>
      <c r="AK19" s="1740"/>
      <c r="AL19" s="1740"/>
      <c r="AM19" s="1740"/>
      <c r="AN19" s="1740"/>
    </row>
    <row r="20" spans="1:40" ht="61.5" customHeight="1">
      <c r="A20" s="108"/>
      <c r="B20" s="1717" t="s">
        <v>1006</v>
      </c>
      <c r="C20" s="1718"/>
      <c r="D20" s="1718"/>
      <c r="E20" s="1718"/>
      <c r="F20" s="1718"/>
      <c r="G20" s="1718"/>
      <c r="H20" s="1718"/>
      <c r="I20" s="1719"/>
      <c r="J20" s="635" t="str">
        <f>IF(Name_Of_Applicant="","",IF(OR($N20=0,'Proposed Development Info'!#REF!=0),"NA",IF(OR(Development_Category="New Construction",Development_Category="Redevelopment",Development_Category="Acquisition and Redevelopment"),IF('Proposed Development Info'!G20&gt;='Proposed Development Info'!G19,"Yes","No"),IF(OR(Development_Category="Rehabilitation",Development_Category="Acquisition and Rehabilitation",Development_Category="Preservation",Development_Category="Acquisition and Preservation"),IF(AND('Proposed Development Info'!H20&lt;'Proposed Development Info'!H19,'Proposed Development Info'!H26&gt;=20%,'Proposed Development Info'!H35&gt;=25000),"Yes","No"),"No"))))</f>
        <v/>
      </c>
      <c r="K20" s="108"/>
      <c r="L20" s="879" t="str">
        <f>IF(Name_Of_Applicant="","",IF($N20=0,"NA",IF(J20="No",CHAR(149)&amp;IF(OR(Development_Category="New Construction",Development_Category="Redevelopment",Development_Category="Acquisition and Redevelopment"),IF('Proposed Development Info'!G20&lt;'Proposed Development Info'!G19," NC Units &gt;= 50% Total Units requirement not met",""),IF(OR(Development_Category="Rehabilitation",Development_Category="Acquisition and Rehabilitation",Development_Category="Preservation",Development_Category="Acquisition and Preservation"),IF('Proposed Development Info'!H20&gt;='Proposed Development Info'!H19," NC Units &lt; 50% Total Units requirement not met.","")&amp;IF('Proposed Development Info'!H26&lt;20%," Rehab expenses &gt;= 20% of adjusted basis of acquired building requirement not met.","")&amp;IF('Proposed Development Info'!H35&lt;25000," Qualified basis of rehab expenses &gt;= $25K per HC Unit requirement not met.","")," No Development Category selected.")),IF(J20="Yes",CHAR(149)&amp;" Development Category meets qualifying conditions for its unit mix"&amp;IF(OR(Development_Category="Rehabilitation",Development_Category="Acquisition and Rehabilitation",Development_Category="Preservation",Development_Category="Acquisition and Preservation")," and Rehab Expenses relative to both Adj. Basis of Acq. Basis and per HC Unit","")&amp;".",""))))</f>
        <v/>
      </c>
      <c r="N20" s="588">
        <v>1</v>
      </c>
      <c r="O20" s="42"/>
      <c r="P20" s="14" t="str">
        <f t="shared" si="0"/>
        <v>Applicable to this RFA</v>
      </c>
      <c r="S20" s="1740" t="s">
        <v>1433</v>
      </c>
      <c r="T20" s="1740"/>
      <c r="U20" s="1740"/>
      <c r="V20" s="1740"/>
      <c r="W20" s="1740"/>
      <c r="X20" s="1740"/>
      <c r="Y20" s="1740"/>
      <c r="Z20" s="1740"/>
      <c r="AA20" s="1740"/>
      <c r="AB20" s="1740"/>
      <c r="AC20" s="1740"/>
      <c r="AD20" s="1740"/>
      <c r="AE20" s="1740"/>
      <c r="AF20" s="1740"/>
      <c r="AG20" s="1740"/>
      <c r="AH20" s="1740"/>
      <c r="AI20" s="1740"/>
      <c r="AJ20" s="1740"/>
      <c r="AK20" s="1740"/>
      <c r="AL20" s="1740"/>
      <c r="AM20" s="1740"/>
      <c r="AN20" s="1740"/>
    </row>
    <row r="21" spans="1:40">
      <c r="A21" s="108"/>
      <c r="B21" s="1717" t="s">
        <v>1007</v>
      </c>
      <c r="C21" s="1718"/>
      <c r="D21" s="1718"/>
      <c r="E21" s="1718"/>
      <c r="F21" s="1718"/>
      <c r="G21" s="1718"/>
      <c r="H21" s="1718"/>
      <c r="I21" s="1719"/>
      <c r="J21" s="523" t="str">
        <f>IF(Name_Of_Applicant="","",IF(OR($N21=0,'Proposed Development Info'!$K59=0),"NA",IF(DevType&lt;&gt;"&lt;select one&gt;","Yes","No")))</f>
        <v/>
      </c>
      <c r="K21" s="108"/>
      <c r="L21" s="879" t="str">
        <f>IF(Name_Of_Applicant="","",IF($N21=0,"NA",IF(J21="No",CHAR(149)&amp;" Question 4.A.4."&amp;'Proposed Development Info'!A58&amp;". not answered",IF(J21="Yes",CHAR(149)&amp;" Question 4.A.4."&amp;'Proposed Development Info'!A58&amp;". has an eligible response",""))))</f>
        <v/>
      </c>
      <c r="N21" s="588">
        <v>1</v>
      </c>
      <c r="O21" s="42"/>
      <c r="P21" s="14" t="str">
        <f t="shared" si="0"/>
        <v>Applicable to this RFA</v>
      </c>
      <c r="S21" s="1740" t="s">
        <v>1405</v>
      </c>
      <c r="T21" s="1740"/>
      <c r="U21" s="1740"/>
      <c r="V21" s="1740"/>
      <c r="W21" s="1740"/>
      <c r="X21" s="1740"/>
      <c r="Y21" s="1740"/>
      <c r="Z21" s="1740"/>
      <c r="AA21" s="1740"/>
      <c r="AB21" s="1740"/>
      <c r="AC21" s="1740"/>
      <c r="AD21" s="1740"/>
      <c r="AE21" s="1740"/>
      <c r="AF21" s="1740"/>
      <c r="AG21" s="1740"/>
      <c r="AH21" s="1740"/>
      <c r="AI21" s="1740"/>
      <c r="AJ21" s="1740"/>
      <c r="AK21" s="1740"/>
      <c r="AL21" s="1740"/>
      <c r="AM21" s="1740"/>
      <c r="AN21" s="1740"/>
    </row>
    <row r="22" spans="1:40" ht="46.5" customHeight="1">
      <c r="A22" s="1153"/>
      <c r="B22" s="1729" t="s">
        <v>1008</v>
      </c>
      <c r="C22" s="1730"/>
      <c r="D22" s="1730"/>
      <c r="E22" s="1730"/>
      <c r="F22" s="1730"/>
      <c r="G22" s="1730"/>
      <c r="H22" s="1730"/>
      <c r="I22" s="1731"/>
      <c r="J22" s="523" t="str">
        <f>IF(Name_Of_Applicant="","",IF(OR($N22=0,'Proposed Development Info'!$K6+SUM('Proposed Development Info'!$K72:$K86)=0),"NA",IF(AND(total_units_in_unit_desc_chart=Total_Units,Development_Category&lt;&gt;"&lt;select one&gt;",Development_Category&lt;&gt;""),"Yes","No")))</f>
        <v/>
      </c>
      <c r="K22" s="108"/>
      <c r="L22" s="1206" t="str">
        <f>IF(Name_Of_Applicant="","",IF($N22=0,"NA",IF(J22="No",CHAR(149)&amp;IF(total_units_in_unit_desc_chart&lt;&gt;Total_Units," Total Units in 4.A.4.e. table not equal to Total Units in 4.A.6.a.","")&amp;IF(OR(Development_Category="&lt;select one&gt;",Development_Category="")," Question 4.A.4.b.1 not answered.",""),IF(J22="Yes",CHAR(149)&amp;" Total Units in 4.A.4.e. table equals Total Units in 4.A.6.a."&amp;" Question 4.A.4.b.1 has an eligible response.",""))))</f>
        <v/>
      </c>
      <c r="N22" s="588">
        <v>1</v>
      </c>
      <c r="O22" s="42"/>
      <c r="P22" s="14" t="str">
        <f t="shared" si="0"/>
        <v>Applicable to this RFA</v>
      </c>
      <c r="S22" s="1740" t="s">
        <v>1406</v>
      </c>
      <c r="T22" s="1740"/>
      <c r="U22" s="1740"/>
      <c r="V22" s="1740"/>
      <c r="W22" s="1740"/>
      <c r="X22" s="1740"/>
      <c r="Y22" s="1740"/>
      <c r="Z22" s="1740"/>
      <c r="AA22" s="1740"/>
      <c r="AB22" s="1740"/>
      <c r="AC22" s="1740"/>
      <c r="AD22" s="1740"/>
      <c r="AE22" s="1740"/>
      <c r="AF22" s="1740"/>
      <c r="AG22" s="1740"/>
      <c r="AH22" s="1740"/>
      <c r="AI22" s="1740"/>
      <c r="AJ22" s="1740"/>
      <c r="AK22" s="1740"/>
      <c r="AL22" s="1740"/>
      <c r="AM22" s="1740"/>
      <c r="AN22" s="1740"/>
    </row>
    <row r="23" spans="1:40">
      <c r="A23" s="108"/>
      <c r="B23" s="1717" t="s">
        <v>1009</v>
      </c>
      <c r="C23" s="1718"/>
      <c r="D23" s="1718"/>
      <c r="E23" s="1718"/>
      <c r="F23" s="1718"/>
      <c r="G23" s="1718"/>
      <c r="H23" s="1718"/>
      <c r="I23" s="1719"/>
      <c r="J23" s="523" t="str">
        <f>IF(Name_Of_Applicant="","",IF($N23=0,"NA",IF(County&lt;&gt;"&lt;select one&gt;","Yes","No")))</f>
        <v/>
      </c>
      <c r="K23" s="108"/>
      <c r="L23" s="879" t="str">
        <f>IF(Name_Of_Applicant="","",IF($N23=0,"NA",IF(J23="No",CHAR(149)&amp;" Question 4.A.5.a. not answered",IF(J23="Yes",CHAR(149)&amp;" Question 4.A.5.a. has an eligible response",""))))</f>
        <v/>
      </c>
      <c r="N23" s="588">
        <v>1</v>
      </c>
      <c r="O23" s="42"/>
      <c r="P23" s="14" t="str">
        <f t="shared" si="0"/>
        <v>Applicable to this RFA</v>
      </c>
      <c r="S23" s="1740" t="s">
        <v>1408</v>
      </c>
      <c r="T23" s="1740"/>
      <c r="U23" s="1740"/>
      <c r="V23" s="1740"/>
      <c r="W23" s="1740"/>
      <c r="X23" s="1740"/>
      <c r="Y23" s="1740"/>
      <c r="Z23" s="1740"/>
      <c r="AA23" s="1740"/>
      <c r="AB23" s="1740"/>
      <c r="AC23" s="1740"/>
      <c r="AD23" s="1740"/>
      <c r="AE23" s="1740"/>
      <c r="AF23" s="1740"/>
      <c r="AG23" s="1740"/>
      <c r="AH23" s="1740"/>
      <c r="AI23" s="1740"/>
      <c r="AJ23" s="1740"/>
      <c r="AK23" s="1740"/>
      <c r="AL23" s="1740"/>
      <c r="AM23" s="1740"/>
      <c r="AN23" s="1740"/>
    </row>
    <row r="24" spans="1:40">
      <c r="A24" s="108"/>
      <c r="B24" s="1717" t="s">
        <v>1010</v>
      </c>
      <c r="C24" s="1718"/>
      <c r="D24" s="1718"/>
      <c r="E24" s="1718"/>
      <c r="F24" s="1718"/>
      <c r="G24" s="1718"/>
      <c r="H24" s="1718"/>
      <c r="I24" s="1719"/>
      <c r="J24" s="523" t="str">
        <f>IF(Name_Of_Applicant="","",IF(OR($N24=0,'Development Location'!$L11=0),"NA",IF(Development_Location&lt;&gt;"","Yes","No")))</f>
        <v/>
      </c>
      <c r="K24" s="108"/>
      <c r="L24" s="879" t="str">
        <f>IF(Name_Of_Applicant="","",IF($N24=0,"NA",IF(J24="No",CHAR(149)&amp;" Question 4.A.5."&amp;'Development Location'!A9&amp;". not answered",IF(J24="Yes",CHAR(149)&amp;" Question 4.A.5."&amp;'Development Location'!A9&amp;". has an eligible response",""))))</f>
        <v/>
      </c>
      <c r="N24" s="588">
        <v>1</v>
      </c>
      <c r="O24" s="42"/>
      <c r="P24" s="14" t="str">
        <f t="shared" si="0"/>
        <v>Applicable to this RFA</v>
      </c>
      <c r="S24" s="1740" t="s">
        <v>1409</v>
      </c>
      <c r="T24" s="1740"/>
      <c r="U24" s="1740"/>
      <c r="V24" s="1740"/>
      <c r="W24" s="1740"/>
      <c r="X24" s="1740"/>
      <c r="Y24" s="1740"/>
      <c r="Z24" s="1740"/>
      <c r="AA24" s="1740"/>
      <c r="AB24" s="1740"/>
      <c r="AC24" s="1740"/>
      <c r="AD24" s="1740"/>
      <c r="AE24" s="1740"/>
      <c r="AF24" s="1740"/>
      <c r="AG24" s="1740"/>
      <c r="AH24" s="1740"/>
      <c r="AI24" s="1740"/>
      <c r="AJ24" s="1740"/>
      <c r="AK24" s="1740"/>
      <c r="AL24" s="1740"/>
      <c r="AM24" s="1740"/>
      <c r="AN24" s="1740"/>
    </row>
    <row r="25" spans="1:40" ht="30.75" customHeight="1">
      <c r="A25" s="108"/>
      <c r="B25" s="1717" t="s">
        <v>1011</v>
      </c>
      <c r="C25" s="1718"/>
      <c r="D25" s="1718"/>
      <c r="E25" s="1718"/>
      <c r="F25" s="1718"/>
      <c r="G25" s="1718"/>
      <c r="H25" s="1718"/>
      <c r="I25" s="1719"/>
      <c r="J25" s="523" t="str">
        <f>IF(Name_Of_Applicant="","",IF(OR($N25=0,'Development Location'!$L18=0),"NA",IF(Scattered_Sites&lt;&gt;"&lt;select one&gt;","Yes","No")))</f>
        <v/>
      </c>
      <c r="K25" s="108"/>
      <c r="L25" s="879" t="str">
        <f>IF(Name_Of_Applicant="","",IF($N25=0,"NA",IF(J25="No",CHAR(149)&amp;" Question 4.A.5."&amp;'Development Location'!A16&amp;".(1) not answered",IF(J25="Yes",CHAR(149)&amp;" Question 4.A.5."&amp;'Development Location'!A16&amp;".(1) has an eligible response",""))))</f>
        <v/>
      </c>
      <c r="N25" s="588">
        <v>1</v>
      </c>
      <c r="O25" s="42"/>
      <c r="P25" s="14" t="str">
        <f t="shared" si="0"/>
        <v>Applicable to this RFA</v>
      </c>
      <c r="S25" s="1740" t="s">
        <v>1410</v>
      </c>
      <c r="T25" s="1740"/>
      <c r="U25" s="1740"/>
      <c r="V25" s="1740"/>
      <c r="W25" s="1740"/>
      <c r="X25" s="1740"/>
      <c r="Y25" s="1740"/>
      <c r="Z25" s="1740"/>
      <c r="AA25" s="1740"/>
      <c r="AB25" s="1740"/>
      <c r="AC25" s="1740"/>
      <c r="AD25" s="1740"/>
      <c r="AE25" s="1740"/>
      <c r="AF25" s="1740"/>
      <c r="AG25" s="1740"/>
      <c r="AH25" s="1740"/>
      <c r="AI25" s="1740"/>
      <c r="AJ25" s="1740"/>
      <c r="AK25" s="1740"/>
      <c r="AL25" s="1740"/>
      <c r="AM25" s="1740"/>
      <c r="AN25" s="1740"/>
    </row>
    <row r="26" spans="1:40" ht="30" customHeight="1">
      <c r="A26" s="108"/>
      <c r="B26" s="1717" t="s">
        <v>1012</v>
      </c>
      <c r="C26" s="1718"/>
      <c r="D26" s="1718"/>
      <c r="E26" s="1718"/>
      <c r="F26" s="1718"/>
      <c r="G26" s="1718"/>
      <c r="H26" s="1718"/>
      <c r="I26" s="1719"/>
      <c r="J26" s="523" t="str">
        <f>IF(Name_Of_Applicant="","",IF(OR($N26=0,SUM('Development Location'!$L23:$L24)=0),"NA",IF(OR(DLP_latitude="",VALUE(DLP_latitude)&lt;0,LEN(DLP_latitude)&lt;IFERROR(FIND(".",DLP_latitude)+6,0),DLP_longitude="",VALUE(DLP_longitude)&gt;0,LEN(DLP_longitude)&lt;IFERROR(FIND(".",DLP_longitude)+6,0),AND(Scattered_Sites="Yes",LEN(Scattered_Sites_lat_long)&lt;17)),"No","Yes")))</f>
        <v/>
      </c>
      <c r="K26" s="108"/>
      <c r="L26" s="879" t="str">
        <f>IF(Name_Of_Applicant="","",IF($N26=0,"NA",IF(J26="No",CHAR(149)&amp;IF(DLP_latitude=""," Latitude point not provided",IF(AND(VALUE(DLP_latitude)&gt;0,LEN(DLP_latitude)&lt;IFERROR(FIND(".",DLP_latitude)+6,0))," Latitude is not 6 decimals",IF(AND(VALUE(DLP_latitude)&lt;0,LEN(DLP_latitude)&gt;IFERROR(FIND(".",DLP_latitude)+5,0))," Latitude not listed as a positive #",IF(AND(VALUE(DLP_latitude)&lt;0,LEN(DLP_latitude)&lt;IFERROR(FIND(".",DLP_latitude)+6,0))," Latitude not listed as a positive # &amp; it is not 6 decimals",""))))&amp;IF(AND(OR(DLP_latitude="",AND(VALUE(DLP_latitude)&gt;0,LEN(DLP_latitude)&lt;IFERROR(FIND(".",DLP_latitude)+6,0)),VALUE(DLP_latitude)&lt;0),OR(DLP_longitude="",AND(VALUE(DLP_longitude)&lt;0,LEN(DLP_longitude)&lt;IFERROR(FIND(".",DLP_longitude)+6,0)),VALUE(DLP_longitude)&gt;0)),";","")&amp;IF(DLP_longitude=""," Longitude point not provided",IF(AND(VALUE(DLP_longitude)&lt;0,LEN(DLP_longitude)&lt;IFERROR(FIND(".",DLP_longitude)+6,0))," Longitude is not 6 decimals",IF(AND(VALUE(DLP_longitude)&gt;0,LEN(DLP_longitude)&lt;IFERROR(FIND(".",DLP_longitude)+6,0))," Longitude not listed as a negative # &amp; it is not 6 decimals",IF(VALUE(DLP_longitude)&gt;0," Longitude not listed as a negative #","")))),IF(J26="Yes",CHAR(149)&amp;" Question 4.A.5.d.(1) has been answered",""))))</f>
        <v/>
      </c>
      <c r="N26" s="588">
        <v>1</v>
      </c>
      <c r="O26" s="42"/>
      <c r="P26" s="14" t="str">
        <f t="shared" si="0"/>
        <v>Applicable to this RFA</v>
      </c>
      <c r="S26" s="1740" t="s">
        <v>1421</v>
      </c>
      <c r="T26" s="1740"/>
      <c r="U26" s="1740"/>
      <c r="V26" s="1740"/>
      <c r="W26" s="1740"/>
      <c r="X26" s="1740"/>
      <c r="Y26" s="1740"/>
      <c r="Z26" s="1740"/>
      <c r="AA26" s="1740"/>
      <c r="AB26" s="1740"/>
      <c r="AC26" s="1740"/>
      <c r="AD26" s="1740"/>
      <c r="AE26" s="1740"/>
      <c r="AF26" s="1740"/>
      <c r="AG26" s="1740"/>
      <c r="AH26" s="1740"/>
      <c r="AI26" s="1740"/>
      <c r="AJ26" s="1740"/>
      <c r="AK26" s="1740"/>
      <c r="AL26" s="1740"/>
      <c r="AM26" s="1740"/>
      <c r="AN26" s="1740"/>
    </row>
    <row r="27" spans="1:40" ht="33.75" customHeight="1">
      <c r="A27" s="108"/>
      <c r="B27" s="1717" t="s">
        <v>1013</v>
      </c>
      <c r="C27" s="1718"/>
      <c r="D27" s="1718"/>
      <c r="E27" s="1718"/>
      <c r="F27" s="1718"/>
      <c r="G27" s="1718"/>
      <c r="H27" s="1718"/>
      <c r="I27" s="1719"/>
      <c r="J27" s="523" t="str">
        <f>IF(Name_Of_Applicant="","",IF(OR($N27=0,'Development Location'!$L18=0,Scattered_Sites="No"),"NA",IF(AND(Scattered_Sites="Yes",Scattered_Sites_lat_long&lt;&gt;"",LEN(Scattered_Sites_lat_long)&gt;18),"Yes","No")))</f>
        <v/>
      </c>
      <c r="K27" s="108"/>
      <c r="L27" s="879" t="str">
        <f>IF(Name_Of_Applicant="","",IF($N27=0,"NA",IF(J27="No",CHAR(149)&amp;IF(Scattered_Sites="&lt;select one&gt;"," Question 4.A.5."&amp;'Development Location'!A16&amp;".(1) not answered",IF(OR(Scattered_Sites_lat_long="",LEN(Scattered_Sites_lat_long)&lt;19)," Appropriate Lat/Long points not provided for Scattered Sites","")),IF(J27="Yes",CHAR(149)&amp;" Question 4.A.5."&amp;'Development Location'!A16&amp;".(1) has a response as well as Question 4.A.5."&amp;'Development Location'!A20&amp;".(2)",""))))</f>
        <v/>
      </c>
      <c r="N27" s="588">
        <v>1</v>
      </c>
      <c r="O27" s="42"/>
      <c r="P27" s="14" t="str">
        <f t="shared" si="0"/>
        <v>Applicable to this RFA</v>
      </c>
      <c r="S27" s="1740" t="s">
        <v>1411</v>
      </c>
      <c r="T27" s="1740"/>
      <c r="U27" s="1740"/>
      <c r="V27" s="1740"/>
      <c r="W27" s="1740"/>
      <c r="X27" s="1740"/>
      <c r="Y27" s="1740"/>
      <c r="Z27" s="1740"/>
      <c r="AA27" s="1740"/>
      <c r="AB27" s="1740"/>
      <c r="AC27" s="1740"/>
      <c r="AD27" s="1740"/>
      <c r="AE27" s="1740"/>
      <c r="AF27" s="1740"/>
      <c r="AG27" s="1740"/>
      <c r="AH27" s="1740"/>
      <c r="AI27" s="1740"/>
      <c r="AJ27" s="1740"/>
      <c r="AK27" s="1740"/>
      <c r="AL27" s="1740"/>
      <c r="AM27" s="1740"/>
      <c r="AN27" s="1740"/>
    </row>
    <row r="28" spans="1:40">
      <c r="A28" s="108"/>
      <c r="B28" s="1717" t="s">
        <v>1688</v>
      </c>
      <c r="C28" s="1718"/>
      <c r="D28" s="1718"/>
      <c r="E28" s="1718"/>
      <c r="F28" s="1718"/>
      <c r="G28" s="1718"/>
      <c r="H28" s="1718"/>
      <c r="I28" s="1719"/>
      <c r="J28" s="666" t="s">
        <v>1369</v>
      </c>
      <c r="K28" s="1121"/>
      <c r="L28" s="879"/>
      <c r="N28" s="588">
        <v>1</v>
      </c>
      <c r="O28" s="42"/>
      <c r="P28" s="14" t="str">
        <f t="shared" si="0"/>
        <v>Applicable to this RFA</v>
      </c>
      <c r="S28" s="942"/>
      <c r="T28" s="108"/>
      <c r="U28" s="108"/>
      <c r="V28" s="108"/>
      <c r="W28" s="108"/>
      <c r="X28" s="108"/>
      <c r="Y28" s="108"/>
      <c r="Z28" s="108"/>
      <c r="AA28" s="108"/>
      <c r="AB28" s="108"/>
      <c r="AC28" s="108"/>
      <c r="AD28" s="108"/>
      <c r="AE28" s="108"/>
      <c r="AF28" s="108"/>
      <c r="AG28" s="108"/>
      <c r="AH28" s="108"/>
      <c r="AI28" s="108"/>
      <c r="AJ28" s="108"/>
      <c r="AK28" s="108"/>
      <c r="AL28" s="108"/>
      <c r="AM28" s="108"/>
      <c r="AN28" s="108"/>
    </row>
    <row r="29" spans="1:40">
      <c r="A29" s="108"/>
      <c r="B29" s="1717" t="s">
        <v>1689</v>
      </c>
      <c r="C29" s="1718"/>
      <c r="D29" s="1718"/>
      <c r="E29" s="1718"/>
      <c r="F29" s="1718"/>
      <c r="G29" s="1718"/>
      <c r="H29" s="1718"/>
      <c r="I29" s="1719"/>
      <c r="J29" s="666" t="s">
        <v>1370</v>
      </c>
      <c r="K29" s="1121"/>
      <c r="L29" s="879"/>
      <c r="N29" s="588">
        <v>1</v>
      </c>
      <c r="O29" s="42"/>
      <c r="P29" s="14" t="str">
        <f t="shared" si="0"/>
        <v>Applicable to this RFA</v>
      </c>
      <c r="S29" s="942"/>
      <c r="T29" s="108"/>
      <c r="U29" s="108"/>
      <c r="V29" s="108"/>
      <c r="W29" s="108"/>
      <c r="X29" s="108"/>
      <c r="Y29" s="108"/>
      <c r="Z29" s="108"/>
      <c r="AA29" s="108"/>
      <c r="AB29" s="108"/>
      <c r="AC29" s="108"/>
      <c r="AD29" s="108"/>
      <c r="AE29" s="108"/>
      <c r="AF29" s="108"/>
      <c r="AG29" s="108"/>
      <c r="AH29" s="108"/>
      <c r="AI29" s="108"/>
      <c r="AJ29" s="108"/>
      <c r="AK29" s="108"/>
      <c r="AL29" s="108"/>
      <c r="AM29" s="108"/>
      <c r="AN29" s="108"/>
    </row>
    <row r="30" spans="1:40">
      <c r="A30" s="108"/>
      <c r="B30" s="1717" t="s">
        <v>1014</v>
      </c>
      <c r="C30" s="1718"/>
      <c r="D30" s="1718"/>
      <c r="E30" s="1718"/>
      <c r="F30" s="1718"/>
      <c r="G30" s="1718"/>
      <c r="H30" s="1718"/>
      <c r="I30" s="1719"/>
      <c r="J30" s="666" t="s">
        <v>1371</v>
      </c>
      <c r="K30" s="1121"/>
      <c r="L30" s="879"/>
      <c r="N30" s="588">
        <v>1</v>
      </c>
      <c r="O30" s="42"/>
      <c r="P30" s="14" t="str">
        <f t="shared" si="0"/>
        <v>Applicable to this RFA</v>
      </c>
      <c r="S30" s="942"/>
      <c r="T30" s="108"/>
      <c r="U30" s="108"/>
      <c r="V30" s="108"/>
      <c r="W30" s="108"/>
      <c r="X30" s="108"/>
      <c r="Y30" s="108"/>
      <c r="Z30" s="108"/>
      <c r="AA30" s="108"/>
      <c r="AB30" s="108"/>
      <c r="AC30" s="108"/>
      <c r="AD30" s="108"/>
      <c r="AE30" s="108"/>
      <c r="AF30" s="108"/>
      <c r="AG30" s="108"/>
      <c r="AH30" s="108"/>
      <c r="AI30" s="108"/>
      <c r="AJ30" s="108"/>
      <c r="AK30" s="108"/>
      <c r="AL30" s="108"/>
      <c r="AM30" s="108"/>
      <c r="AN30" s="108"/>
    </row>
    <row r="31" spans="1:40" ht="32.25" customHeight="1">
      <c r="A31" s="108"/>
      <c r="B31" s="1717" t="s">
        <v>1015</v>
      </c>
      <c r="C31" s="1718"/>
      <c r="D31" s="1718"/>
      <c r="E31" s="1718"/>
      <c r="F31" s="1718"/>
      <c r="G31" s="1718"/>
      <c r="H31" s="1718"/>
      <c r="I31" s="1719"/>
      <c r="J31" s="523" t="str">
        <f>IF(Name_Of_Applicant="","",IF($N31=0,"NA",IF(AND(Total_Units&gt;=DS_Min_Units,Total_Units&lt;=DS_Max_Units),"Yes","No")))</f>
        <v/>
      </c>
      <c r="K31" s="108"/>
      <c r="L31" s="879" t="str">
        <f>IF(Name_Of_Applicant="","",IF($N31=0,"NA",IF(J31="No",CHAR(149)&amp;IF(Total_Units&lt;DS_Min_Units," Total Units is less than the minimum allowed","")&amp;IF(Total_Units&gt;DS_Max_Units," Total Units is greater than the maximum allowed"),IF(J31="Yes",CHAR(149)&amp;" Total Units is within the range allowed",""))))</f>
        <v/>
      </c>
      <c r="N31" s="588">
        <v>1</v>
      </c>
      <c r="O31" s="42"/>
      <c r="P31" s="14" t="str">
        <f t="shared" si="0"/>
        <v>Applicable to this RFA</v>
      </c>
      <c r="S31" s="1740" t="s">
        <v>1412</v>
      </c>
      <c r="T31" s="1740"/>
      <c r="U31" s="1740"/>
      <c r="V31" s="1740"/>
      <c r="W31" s="1740"/>
      <c r="X31" s="1740"/>
      <c r="Y31" s="1740"/>
      <c r="Z31" s="1740"/>
      <c r="AA31" s="1740"/>
      <c r="AB31" s="1740"/>
      <c r="AC31" s="1740"/>
      <c r="AD31" s="1740"/>
      <c r="AE31" s="1740"/>
      <c r="AF31" s="1740"/>
      <c r="AG31" s="1740"/>
      <c r="AH31" s="1740"/>
      <c r="AI31" s="1740"/>
      <c r="AJ31" s="1740"/>
      <c r="AK31" s="1740"/>
      <c r="AL31" s="1740"/>
      <c r="AM31" s="1740"/>
      <c r="AN31" s="1740"/>
    </row>
    <row r="32" spans="1:40" ht="34.5" customHeight="1">
      <c r="A32" s="108"/>
      <c r="B32" s="1717" t="s">
        <v>1016</v>
      </c>
      <c r="C32" s="1718"/>
      <c r="D32" s="1718"/>
      <c r="E32" s="1718"/>
      <c r="F32" s="1718"/>
      <c r="G32" s="1718"/>
      <c r="H32" s="1718"/>
      <c r="I32" s="1719"/>
      <c r="J32" s="523" t="str">
        <f>IF(Name_Of_Applicant="","",IF(OR($N32=0,SUM('Proposed Development Info'!K72:K86)=0),"NA",IF(total_units_in_unit_desc_chart=Total_Units,"Yes","No")))</f>
        <v/>
      </c>
      <c r="K32" s="108"/>
      <c r="L32" s="879" t="str">
        <f>IF(Name_Of_Applicant="","",IF($N32=0,"NA",IF(J32="No",CHAR(149)&amp;" The table for 4.A.4."&amp;'Proposed Development Info'!A67&amp;". has not been properly completed",IF(J32="Yes",CHAR(149)&amp;" The table for 4.A.4."&amp;'Proposed Development Info'!A67&amp;". has been completed",""))))</f>
        <v/>
      </c>
      <c r="N32" s="588">
        <v>1</v>
      </c>
      <c r="O32" s="42"/>
      <c r="P32" s="14" t="str">
        <f t="shared" si="0"/>
        <v>Applicable to this RFA</v>
      </c>
      <c r="S32" s="1740" t="s">
        <v>1416</v>
      </c>
      <c r="T32" s="1740"/>
      <c r="U32" s="1740"/>
      <c r="V32" s="1740"/>
      <c r="W32" s="1740"/>
      <c r="X32" s="1740"/>
      <c r="Y32" s="1740"/>
      <c r="Z32" s="1740"/>
      <c r="AA32" s="1740"/>
      <c r="AB32" s="1740"/>
      <c r="AC32" s="1740"/>
      <c r="AD32" s="1740"/>
      <c r="AE32" s="1740"/>
      <c r="AF32" s="1740"/>
      <c r="AG32" s="1740"/>
      <c r="AH32" s="1740"/>
      <c r="AI32" s="1740"/>
      <c r="AJ32" s="1740"/>
      <c r="AK32" s="1740"/>
      <c r="AL32" s="1740"/>
      <c r="AM32" s="1740"/>
      <c r="AN32" s="1740"/>
    </row>
    <row r="33" spans="1:40" ht="32.25" customHeight="1">
      <c r="A33" s="108"/>
      <c r="B33" s="1717" t="s">
        <v>1017</v>
      </c>
      <c r="C33" s="1718"/>
      <c r="D33" s="1718"/>
      <c r="E33" s="1718"/>
      <c r="F33" s="1718"/>
      <c r="G33" s="1718"/>
      <c r="H33" s="1718"/>
      <c r="I33" s="1719"/>
      <c r="J33" s="726" t="str">
        <f>IF(Name_Of_Applicant="","",IF(OR($N33=0,'Units, Set-Asides, Bldgs'!P6=0,OR(Development_Category="New Construction",Development_Category="Redevelopment",Development_Category="Acquisition and Redevelopment")),"NA",IF(AND(OR(Development_Category="Rehabilitation",Development_Category="Acquisition and Rehabilitation",Development_Category="Preservation",Development_Category="Acquisition and Preservation"),occupancy_status&lt;&gt;"&lt;select one&gt;"),"Yes","No")))</f>
        <v/>
      </c>
      <c r="K33" s="108"/>
      <c r="L33" s="879" t="str">
        <f>IF(Name_Of_Applicant="","",IF($N33=0,"NA",IF(J33="No",CHAR(149)&amp;" Question 4.A.6.b. does not have a response",IF(J33="Yes",CHAR(149)&amp;" Question 4.A.4.b. has an eligible response",""))))</f>
        <v/>
      </c>
      <c r="N33" s="588">
        <v>1</v>
      </c>
      <c r="O33" s="42"/>
      <c r="P33" s="14" t="str">
        <f t="shared" si="0"/>
        <v>Applicable to this RFA</v>
      </c>
      <c r="S33" s="1740" t="s">
        <v>1417</v>
      </c>
      <c r="T33" s="1740"/>
      <c r="U33" s="1740"/>
      <c r="V33" s="1740"/>
      <c r="W33" s="1740"/>
      <c r="X33" s="1740"/>
      <c r="Y33" s="1740"/>
      <c r="Z33" s="1740"/>
      <c r="AA33" s="1740"/>
      <c r="AB33" s="1740"/>
      <c r="AC33" s="1740"/>
      <c r="AD33" s="1740"/>
      <c r="AE33" s="1740"/>
      <c r="AF33" s="1740"/>
      <c r="AG33" s="1740"/>
      <c r="AH33" s="1740"/>
      <c r="AI33" s="1740"/>
      <c r="AJ33" s="1740"/>
      <c r="AK33" s="1740"/>
      <c r="AL33" s="1740"/>
      <c r="AM33" s="1740"/>
      <c r="AN33" s="1740"/>
    </row>
    <row r="34" spans="1:40">
      <c r="A34" s="108"/>
      <c r="B34" s="1717" t="s">
        <v>1018</v>
      </c>
      <c r="C34" s="1718"/>
      <c r="D34" s="1718"/>
      <c r="E34" s="1718"/>
      <c r="F34" s="1718"/>
      <c r="G34" s="1718"/>
      <c r="H34" s="1718"/>
      <c r="I34" s="1719"/>
      <c r="J34" s="726" t="str">
        <f>IF(Name_Of_Applicant="","",IF(OR($N34=0,'Units, Set-Asides, Bldgs'!$P13=0),"NA",IF(AND(Minimum_SetAside_per_Sec_42&lt;&gt;"&lt;select one&gt;",Minimum_SetAside_per_Sec_42&lt;&gt;""),"Yes","No")))</f>
        <v/>
      </c>
      <c r="K34" s="108"/>
      <c r="L34" s="879" t="str">
        <f>IF(Name_Of_Applicant="","",IF($N34=0,"NA",IF(J34="No",CHAR(149)&amp;" Question 4.A.6."&amp;'Units, Set-Asides, Bldgs'!A10&amp;".(1) not answered",IF(J34="Yes",CHAR(149)&amp;" Question 4.A.6."&amp;'Units, Set-Asides, Bldgs'!A10&amp;".(1) has an eligible response",""))))</f>
        <v/>
      </c>
      <c r="N34" s="588">
        <v>1</v>
      </c>
      <c r="O34" s="42"/>
      <c r="P34" s="14" t="str">
        <f t="shared" si="0"/>
        <v>Applicable to this RFA</v>
      </c>
      <c r="S34" s="1740" t="s">
        <v>1418</v>
      </c>
      <c r="T34" s="1740"/>
      <c r="U34" s="1740"/>
      <c r="V34" s="1740"/>
      <c r="W34" s="1740"/>
      <c r="X34" s="1740"/>
      <c r="Y34" s="1740"/>
      <c r="Z34" s="1740"/>
      <c r="AA34" s="1740"/>
      <c r="AB34" s="1740"/>
      <c r="AC34" s="1740"/>
      <c r="AD34" s="1740"/>
      <c r="AE34" s="1740"/>
      <c r="AF34" s="1740"/>
      <c r="AG34" s="1740"/>
      <c r="AH34" s="1740"/>
      <c r="AI34" s="1740"/>
      <c r="AJ34" s="1740"/>
      <c r="AK34" s="1740"/>
      <c r="AL34" s="1740"/>
      <c r="AM34" s="1740"/>
      <c r="AN34" s="1740"/>
    </row>
    <row r="35" spans="1:40" ht="79.95" customHeight="1">
      <c r="A35" s="1091" t="s">
        <v>1566</v>
      </c>
      <c r="B35" s="1717" t="str">
        <f>"Total "&amp;DS_Loan_Name&amp;" Set-Aside Breakdown Chart properly completed"</f>
        <v>Total HOME-ARP Set-Aside Breakdown Chart properly completed</v>
      </c>
      <c r="C35" s="1718"/>
      <c r="D35" s="1718"/>
      <c r="E35" s="1718"/>
      <c r="F35" s="1718"/>
      <c r="G35" s="1718"/>
      <c r="H35" s="1718"/>
      <c r="I35" s="1719"/>
      <c r="J35" s="1092" t="str">
        <f>IF(Name_Of_Applicant="","",IF(OR($N35=0,'Units, Set-Asides, Bldgs'!$P15=0,Minimum_SetAside_per_Sec_42&lt;&gt;Data1!A342),"NA",IF(AND(Minimum_SetAside_per_Sec_42=Data1!A342,Data1!H357="Yes",Data1!H345="Yes",Data1!H370="Yes",pct_units_in_setaside_chart=1),"Yes","No")))</f>
        <v/>
      </c>
      <c r="K35" s="108"/>
      <c r="L35" s="1207" t="str">
        <f>IF(Name_Of_Applicant="","",IF($N36=0,"NA",IF(J35="No",CHAR(149)&amp;IF(pct_units_in_setaside_chart&lt;&gt;1," All of the units have NOT been entered into the Set-Aside Breakdown Chart at Szection 4.A.6."&amp;'Units, Set-Asides, Bldgs'!A$10&amp;"."&amp;'Units, Set-Asides, Bldgs'!B15&amp;"("&amp;'Units, Set-Asides, Bldgs'!C$18&amp;"). ","")&amp;IF(Data1!H345="No"," The Minimum FHFC RFA Set-Aside commitment of "&amp;TEXT(DS_HC_Min_SA_Perc,"0%")&amp;" has NOT been met. ","")&amp;IF(Data1!H357="No"," The Minimum "&amp;DS_Loan_Name&amp;" Set-Aside commitment of "&amp;TEXT(DS_Loan_Min_SA_Perc,"0%")&amp;" has NOT been met. ",""),IF(J35="Yes",CHAR(149)&amp;" Set-Aside Commitment Chart(s) in Section 4.A.6."&amp;'Units, Set-Asides, Bldgs'!A10&amp;".(2) have eligible responses",""))))</f>
        <v/>
      </c>
      <c r="N35" s="588">
        <v>1</v>
      </c>
      <c r="O35" s="42"/>
      <c r="P35" s="14" t="str">
        <f>IF(N35="","",IF(N35=0,"Not ","")&amp;"Applicable to this RFA")</f>
        <v>Applicable to this RFA</v>
      </c>
      <c r="S35" s="964"/>
      <c r="T35" s="964"/>
      <c r="U35" s="964"/>
      <c r="V35" s="964"/>
      <c r="W35" s="964"/>
      <c r="X35" s="964"/>
      <c r="Y35" s="964"/>
      <c r="Z35" s="964"/>
      <c r="AA35" s="964"/>
      <c r="AB35" s="964"/>
      <c r="AC35" s="964"/>
      <c r="AD35" s="964"/>
      <c r="AE35" s="964"/>
      <c r="AF35" s="964"/>
      <c r="AG35" s="964"/>
      <c r="AH35" s="964"/>
      <c r="AI35" s="964"/>
      <c r="AJ35" s="964"/>
      <c r="AK35" s="964"/>
      <c r="AL35" s="964"/>
      <c r="AM35" s="964"/>
      <c r="AN35" s="964"/>
    </row>
    <row r="36" spans="1:40" ht="145.19999999999999" customHeight="1">
      <c r="A36" s="1091" t="s">
        <v>1567</v>
      </c>
      <c r="B36" s="1717" t="s">
        <v>1503</v>
      </c>
      <c r="C36" s="1718"/>
      <c r="D36" s="1718"/>
      <c r="E36" s="1718"/>
      <c r="F36" s="1718"/>
      <c r="G36" s="1718"/>
      <c r="H36" s="1718"/>
      <c r="I36" s="1719"/>
      <c r="J36" s="1098" t="str">
        <f>IF(Name_Of_Applicant="","",IF(OR($N36=0,'Units, Set-Asides, Bldgs'!$P15=0),"NA",IF(AND(Data1!H345="Yes",Data1!H348="Yes",Data1!H370="Yes",IF(Demographic="Elderly ALF",Data1!H351="Yes",TRUE),IF(NonProfit_Applicant="Yes",Data1!H352="Yes",TRUE),IF('Units, Set-Asides, Bldgs'!R32=0,AND(Data1!H349="Yes",Data1!H350="Yes"),TRUE),IF(OR(Minimum_SetAside_per_Sec_42=Data1!A339,Minimum_SetAside_per_Sec_42=Data1!A340),pct_units_in_setaside_chart=1,IF(Minimum_SetAside_per_Sec_42="Average Income Test",AND(Total_AIT_Chart_Units=Total_Units,Data1!H353="Yes"),TRUE))),"Yes","No")))</f>
        <v/>
      </c>
      <c r="K36" s="108"/>
      <c r="L36" s="1103" t="str">
        <f>IF(Name_Of_Applicant="","",IF($N36=0,"NA",IF(J36="No",CHAR(149)&amp;IF(OR(AND(Minimum_SetAside_per_Sec_42="Average Income Test",Total_AIT_Chart_Units&lt;Total_Units),AND(Minimum_SetAside_per_Sec_42&lt;&gt;"Average Income Test",Minimum_SetAside_per_Sec_42&lt;&gt;"&lt;select one&gt;",pct_units_in_setaside_chart&lt;1))," All of the units have NOT been entered into the Set-Aside Breakdown Chart at Section 4.A.6."&amp;'Units, Set-Asides, Bldgs'!A$10&amp;"."&amp;'Units, Set-Asides, Bldgs'!B15&amp;"("&amp;IF(AND(Minimum_SetAside_per_Sec_42&lt;&gt;"Average Income Test",Minimum_SetAside_per_Sec_42&lt;&gt;"&lt;select one&gt;"),'Units, Set-Asides, Bldgs'!C$18,'Units, Set-Asides, Bldgs'!C$35)&amp;").","")&amp;IF(Data1!H$348="No"," The minimum IRS Set-Asides of "&amp;IF(LEFT(Minimum_SetAside_per_Sec_42,2)="20","20% at 50%",IF(LEFT(Minimum_SetAside_per_Sec_42,2)="40","40% at 60%","40% at an average of 60% or less"))&amp;" is NOT met.","")&amp;IF(Data1!H$345="No"," The minimum FHFC Set-Aside commitment of "&amp;TEXT(Data1!B$345,"0%")&amp;" has NOT been met.","")&amp;IF(AND('Units, Set-Asides, Bldgs'!R$32=0,Data1!H$349="No")," The minimum HC Set-Aside for units up to 60% AMI of "&amp;TEXT(Data1!B$349,"0%")&amp;" for Workforce has NOT been met.","")&amp;IF(AND('Units, Set-Asides, Bldgs'!R$32=0,Data1!H$350="No")," The maximum HC Set-Aside for units up to 60% AMI of "&amp;TEXT(Data1!B$350,"0%")&amp;" for Workforce has NOT been met.","")&amp;IF(AND(Minimum_SetAside_per_Sec_42="Average Income Test",Data1!H$353="No")," The average AMI of the HC units is in excess of 60%.","")&amp;IF(Data1!H$370="No"," The ELI units entered into the Set-Aside Breakdown Chart at Section 4.A.6."&amp;'Units, Set-Asides, Bldgs'!A$10&amp;"."&amp;'Units, Set-Asides, Bldgs'!B15&amp;"("&amp;IF(AND(Minimum_SetAside_per_Sec_42&lt;&gt;"Average Income Test",Minimum_SetAside_per_Sec_42&lt;&gt;"&lt;select one&gt;"),'Units, Set-Asides, Bldgs'!C$18,'Units, Set-Asides, Bldgs'!C$35)&amp;") is less than the required minimum.","")&amp;IF(AND(Demographic="Elderly ALF",Data1!H351="No")," The minimum ALF set-aside commimtment of "&amp;TEXT(Data1!B351,"0%")&amp;" has NOT been met.","")&amp;IF(AND(NonProfit_Applicant="Yes",Data1!H352="No")," The IRS minimum safe-harbor set-aside commitment of "&amp;TEXT(Data1!B352,"0%")&amp;" has NOT been met.",""),IF(J36="Yes",CHAR(149)&amp;" Set-Aside Commitment Chart(s) in Section 4.A.6."&amp;'Units, Set-Asides, Bldgs'!A$10&amp;"."&amp;'Units, Set-Asides, Bldgs'!B15&amp;" have eligible responses",""))))</f>
        <v/>
      </c>
      <c r="N36" s="588">
        <v>1</v>
      </c>
      <c r="O36" s="42"/>
      <c r="P36" s="14" t="str">
        <f t="shared" ref="P36" si="1">IF(N36="","",IF(N36=0,"Not ","")&amp;"Applicable to this RFA")</f>
        <v>Applicable to this RFA</v>
      </c>
      <c r="S36" s="964"/>
      <c r="T36" s="964"/>
      <c r="U36" s="964"/>
      <c r="V36" s="964"/>
      <c r="W36" s="964"/>
      <c r="X36" s="964"/>
      <c r="Y36" s="964"/>
      <c r="Z36" s="964"/>
      <c r="AA36" s="964"/>
      <c r="AB36" s="964"/>
      <c r="AC36" s="964"/>
      <c r="AD36" s="964"/>
      <c r="AE36" s="964"/>
      <c r="AF36" s="964"/>
      <c r="AG36" s="964"/>
      <c r="AH36" s="964"/>
      <c r="AI36" s="964"/>
      <c r="AJ36" s="964"/>
      <c r="AK36" s="964"/>
      <c r="AL36" s="964"/>
      <c r="AM36" s="964"/>
      <c r="AN36" s="964"/>
    </row>
    <row r="37" spans="1:40" ht="115.95" customHeight="1">
      <c r="A37" s="1091" t="str">
        <f>"6."&amp;'Units, Set-Asides, Bldgs'!A10&amp;".2.("&amp;'Units, Set-Asides, Bldgs'!C70&amp;")"</f>
        <v>6.c.2.()</v>
      </c>
      <c r="B37" s="1726" t="str">
        <f>"Total "&amp;DS_Gap_Name&amp;" Set-Aside Breakdown Chart properly completed"</f>
        <v>Total SAIL Set-Aside Breakdown Chart properly completed</v>
      </c>
      <c r="C37" s="1727"/>
      <c r="D37" s="1727"/>
      <c r="E37" s="1727"/>
      <c r="F37" s="1727"/>
      <c r="G37" s="1727"/>
      <c r="H37" s="1727"/>
      <c r="I37" s="1728"/>
      <c r="J37" s="726" t="str">
        <f>IF(Name_Of_Applicant="","",IF(OR($N37=0,'Units, Set-Asides, Bldgs'!$P15=0),"NA",IF(OR(AND(OR(Minimum_SetAside_per_Sec_42=Data1!A339,Minimum_SetAside_per_Sec_42=Data1!A340),AND(pct_units_in_setaside_chart=1,Data1!H348="Yes",Data1!H345="Yes",IF('Units, Set-Asides, Bldgs'!R32=0,AND(Data1!H349="Yes",Data1!H350="Yes"),TRUE),Data1!H370="Yes")),AND(Minimum_SetAside_per_Sec_42="Average Income Test",Total_AIT_Chart_Units=Total_Units,Data1!H348="Yes",Data1!H345="Yes",IF('Units, Set-Asides, Bldgs'!R32=0,AND(Data1!H349="Yes",Data1!H350="Yes"),TRUE),Data1!H353="Yes",Data1!H370="Yes"),AND(Minimum_SetAside_per_Sec_42=Data1!A342,Data1!H357="Yes",Data1!H345="Yes",Data1!H370="Yes")),"Yes","No")))</f>
        <v/>
      </c>
      <c r="K37" s="108"/>
      <c r="L37" s="1240" t="str">
        <f>IF(Name_Of_Applicant="","",IF($N37=0,"NA",IF(J37="No",CHAR(149)&amp;IF(OR(AND(Minimum_SetAside_per_Sec_42="Average Income Test",Total_AIT_Chart_Units&lt;Total_Units),AND(Minimum_SetAside_per_Sec_42&lt;&gt;"Average Income Test",Minimum_SetAside_per_Sec_42&lt;&gt;"&lt;select one&gt;",pct_units_in_setaside_chart&lt;1))," All of the units have NOT been entered into the Set-Aside Breakdown Chart at Section 4.A.6.d.(2)("&amp;IF(AND(Minimum_SetAside_per_Sec_42&lt;&gt;"Average Income Test",Minimum_SetAside_per_Sec_42&lt;&gt;"&lt;select one&gt;"),'Units, Set-Asides, Bldgs'!C18,'Units, Set-Asides, Bldgs'!C35)&amp;").","")&amp;IF(Data1!H348="No"," The minimum IRS Set-Asides of "&amp;IF(LEFT(Minimum_SetAside_per_Sec_42,2)="20","20% at 50%",IF(LEFT(Minimum_SetAside_per_Sec_42,2)="40","40% at 60%","40% at an average of 60% or less"))&amp;" is NOT met.","")&amp;IF(Data1!H345="No"," The minimum FHFC Set-Aside commitment of "&amp;TEXT(Data1!B345,"0%")&amp;" has NOT been met.","")&amp;IF(AND('Units, Set-Asides, Bldgs'!R32=0,Data1!H349="No")," The minimum HC Set-Aside set at up to 60% AMI of "&amp;TEXT(Data1!B349,"0%")&amp;" for Workforce has NOT been met.","")&amp;IF(AND('Units, Set-Asides, Bldgs'!R32=0,Data1!H350="No")," The maximum HC Set-Aside set at up to 60% AMI of "&amp;TEXT(Data1!B350,"0%")&amp;" for Workforce has NOT been met.","")&amp;IF(AND(Minimum_SetAside_per_Sec_42="Average Income Test",Data1!H353="No")," The average AMI of the HC units is in excess of 60%.","")&amp;IF(Data1!H370="No"," The ELI units entered into the Set-Aside Breakdown Chart at Section 4.A.6.d.("&amp;IF(AND(Minimum_SetAside_per_Sec_42&lt;&gt;"Average Income Test",Minimum_SetAside_per_Sec_42&lt;&gt;"&lt;select one&gt;"),'Units, Set-Asides, Bldgs'!C18,'Units, Set-Asides, Bldgs'!C35)&amp;") is less than the required minimum.",""),IF(J37="Yes",CHAR(149)&amp;" Set-Aside Commitment Chart(s) in Section 4.A.6."&amp;'Units, Set-Asides, Bldgs'!A10&amp;".(2) have eligible responses",""))))</f>
        <v/>
      </c>
      <c r="N37" s="588">
        <v>1</v>
      </c>
      <c r="O37" s="42"/>
      <c r="P37" s="14" t="str">
        <f t="shared" si="0"/>
        <v>Applicable to this RFA</v>
      </c>
      <c r="S37" s="1741" t="s">
        <v>1435</v>
      </c>
      <c r="T37" s="1741"/>
      <c r="U37" s="1741"/>
      <c r="V37" s="1741"/>
      <c r="W37" s="1741"/>
      <c r="X37" s="1741"/>
      <c r="Y37" s="1741"/>
      <c r="Z37" s="1741"/>
      <c r="AA37" s="1741"/>
      <c r="AB37" s="1741"/>
      <c r="AC37" s="1741"/>
      <c r="AD37" s="1741"/>
      <c r="AE37" s="1741"/>
      <c r="AF37" s="1741"/>
      <c r="AG37" s="1741"/>
      <c r="AH37" s="1741"/>
      <c r="AI37" s="1741"/>
      <c r="AJ37" s="1741"/>
      <c r="AK37" s="1741"/>
      <c r="AL37" s="1741"/>
      <c r="AM37" s="1741"/>
      <c r="AN37" s="1741"/>
    </row>
    <row r="38" spans="1:40" ht="72" customHeight="1">
      <c r="A38" s="108"/>
      <c r="B38" s="1717" t="s">
        <v>1019</v>
      </c>
      <c r="C38" s="1718"/>
      <c r="D38" s="1718"/>
      <c r="E38" s="1718"/>
      <c r="F38" s="1718"/>
      <c r="G38" s="1718"/>
      <c r="H38" s="1718"/>
      <c r="I38" s="1719"/>
      <c r="J38" s="635" t="str">
        <f>IF(Name_Of_Applicant="","",IF(OR($N38=0,'Units, Set-Asides, Bldgs'!$P89=0),"NA",IF(OR(Demographic="Family",Demographic="Workforce"),IF(OR(Development_Category="New Construction",Development_Category="Redevelopment",Development_Category="Acquisition and Redevelopment"),IF(OR(LEFT('Units, Set-Asides, Bldgs'!L110,9)="Attention",LEFT(RIGHT('Units, Set-Asides, Bldgs'!L94,28),3)="NOT"),"No","Yes"),"Yes"),IF(OR(Demographic="Elderly Non-ALF",Demographic="Elderly (Elderly Transformative Preservation)"),IF(OR(LEFT('Units, Set-Asides, Bldgs'!L110,9)="Attention",LEFT(RIGHT('Units, Set-Asides, Bldgs'!L94,28),3)="NOT",LEFT(RIGHT('Units, Set-Asides, Bldgs'!L95,28),3)="NOT",LEFT(RIGHT('Units, Set-Asides, Bldgs'!L101,28),3)="NOT",LEFT(RIGHT('Units, Set-Asides, Bldgs'!L106,28),3)="NOT"),"No","Yes"),IF(Demographic="Elderly ALF",IF(OR(LEFT('Units, Set-Asides, Bldgs'!L110,9)="Attention",LEFT(RIGHT('Units, Set-Asides, Bldgs'!L94,28),3)="NOT",LEFT(RIGHT('Units, Set-Asides, Bldgs'!L95,28),3)="NOT"),"No","Yes"),IF(Demographic="Homeless",IF(OR(LEFT('Units, Set-Asides, Bldgs'!L110,9)="Attention",LEFT(RIGHT('Units, Set-Asides, Bldgs'!L94,28),3)="NOT",LEFT(RIGHT('Units, Set-Asides, Bldgs'!L95,28),3)="NOT",IF('Units, Set-Asides, Bldgs'!L99&lt;&gt;"",SUM('Units, Set-Asides, Bldgs'!H99:I103)&gt;0,FALSE),IF('Units, Set-Asides, Bldgs'!L104&lt;&gt;"",SUM('Units, Set-Asides, Bldgs'!H104:I110)&gt;0,FALSE)),"No","Yes"),IF(Demographic="Farmworker/Commercial Fish Worker",IF(OR(LEFT('Units, Set-Asides, Bldgs'!L110,9)="Attention",LEFT(RIGHT('Units, Set-Asides, Bldgs'!L94,28),3)="NOT",IF('Units, Set-Asides, Bldgs'!L99&lt;&gt;"",SUM('Units, Set-Asides, Bldgs'!H99:I103)&gt;0,FALSE),IF('Units, Set-Asides, Bldgs'!L104&lt;&gt;"",SUM('Units, Set-Asides, Bldgs'!H104:I110)&gt;0,FALSE)),"No","Yes"),IF(OR(Demographic="Persons with a Disabiling Condition",Demographic="Persons with Developmental Disabilities"),IF(OR(LEFT('Units, Set-Asides, Bldgs'!L110,9)="Attention",LEFT(RIGHT('Units, Set-Asides, Bldgs'!L94,28),3)="NOT",LEFT(RIGHT('Units, Set-Asides, Bldgs'!L95,28),3)="NOT",IF('Units, Set-Asides, Bldgs'!L99&lt;&gt;"",SUM('Units, Set-Asides, Bldgs'!H99:I103)&gt;0,FALSE),IF('Units, Set-Asides, Bldgs'!L104&lt;&gt;"",SUM('Units, Set-Asides, Bldgs'!H104:I110)&gt;0,FALSE)),"No","Yes"),IF(Demographic="Persons with Special Needs",IF(OR(LEFT('Units, Set-Asides, Bldgs'!L110,9)="Attention",LEFT(RIGHT('Units, Set-Asides, Bldgs'!L94,28),3)="NOT",LEFT(RIGHT('Units, Set-Asides, Bldgs'!L95,28),3)="NOT",IF('Units, Set-Asides, Bldgs'!L99&lt;&gt;"",SUM('Units, Set-Asides, Bldgs'!H99:I103)&gt;0,FALSE),IF('Units, Set-Asides, Bldgs'!L104&lt;&gt;"",SUM('Units, Set-Asides, Bldgs'!H104:I110)&gt;0,FALSE)),"No","Yes"),"Demo?")))))))))</f>
        <v/>
      </c>
      <c r="K38" s="108"/>
      <c r="L38" s="881" t="str">
        <f>IF(Name_Of_Applicant="","",IF($N38=0,"NA",IF(J38="No",CHAR(149)&amp;IF(OR(Demographic="Elderly Non-ALF",Demographic="Elderly (Elderly Transformative Preservation)"),IF(OR(Development_Category="New Construction",Development_Category="Redevelopment",Development_Category="Acquisition and Redevelopment"),Data1!AF413,IF(Development_Category&lt;&gt;"Preservation",Data1!AF411,"")),IF(Demographic="Elderly ALF",Data1!AF415,IF(OR(Demographic="Family",Demographic="Workforce"),IF(OR(Development_Category="New Construction",Development_Category="Redevelopment",Development_Category="Acquisition and Redevelopment"),Data1!AF416,""),IF(Demographic="Homeless",Data1!AF417,IF(Demographic="Farmworker/Commercial Fish Worker",Data1!AF421,IF(OR(Demographic="Persons with a Disabiling Condition",Demographic="Persons with Developmental Disabilities"),Data1!AF423,IF(Demographic="Persons with Special Needs",Data1!AF426,""))))))),CHAR(149)&amp;" The Unit Mix Chart requirements have been met.")))</f>
        <v/>
      </c>
      <c r="M38" s="818"/>
      <c r="N38" s="588">
        <v>1</v>
      </c>
      <c r="O38" s="818"/>
      <c r="P38" s="14" t="str">
        <f t="shared" si="0"/>
        <v>Applicable to this RFA</v>
      </c>
      <c r="Q38" s="818"/>
      <c r="R38" s="818"/>
      <c r="S38" s="942"/>
      <c r="T38" s="108"/>
      <c r="U38" s="108"/>
      <c r="V38" s="108"/>
      <c r="W38" s="108"/>
      <c r="X38" s="108"/>
      <c r="Y38" s="108"/>
      <c r="Z38" s="108"/>
      <c r="AA38" s="108"/>
      <c r="AB38" s="108"/>
      <c r="AC38" s="108"/>
      <c r="AD38" s="108"/>
      <c r="AE38" s="108"/>
      <c r="AF38" s="108"/>
      <c r="AG38" s="108"/>
      <c r="AH38" s="108"/>
      <c r="AI38" s="108"/>
      <c r="AJ38" s="108"/>
      <c r="AK38" s="108"/>
      <c r="AL38" s="108"/>
      <c r="AM38" s="108"/>
      <c r="AN38" s="108"/>
    </row>
    <row r="39" spans="1:40">
      <c r="A39" s="108"/>
      <c r="B39" s="1717" t="s">
        <v>1020</v>
      </c>
      <c r="C39" s="1718"/>
      <c r="D39" s="1718"/>
      <c r="E39" s="1718"/>
      <c r="F39" s="1718"/>
      <c r="G39" s="1718"/>
      <c r="H39" s="1718"/>
      <c r="I39" s="1719"/>
      <c r="J39" s="635" t="str">
        <f>IF(Name_Of_Applicant="","",IF(OR($N39=0,'Units, Set-Asides, Bldgs'!$P125=0),"NA",IF(AND(residential_buildings&lt;&gt;"",N(residential_buildings)&lt;&gt;0),"Yes","No")))</f>
        <v/>
      </c>
      <c r="K39" s="108"/>
      <c r="L39" s="879" t="str">
        <f>IF(Name_Of_Applicant="","",IF($N39=0,"NA",IF(J39="No",CHAR(149)&amp;" Question 4.A.6."&amp;'Units, Set-Asides, Bldgs'!A124&amp;". not answered",IF(J39="Yes",CHAR(149)&amp;" Question 4.A.6."&amp;'Units, Set-Asides, Bldgs'!A124&amp;". has an eligible response",""))))</f>
        <v/>
      </c>
      <c r="N39" s="588">
        <v>1</v>
      </c>
      <c r="O39" s="42"/>
      <c r="P39" s="14" t="str">
        <f t="shared" ref="P39:P45" si="2">IF(N39="","",IF(N39=0,"Not ","")&amp;"Applicable to this RFA")</f>
        <v>Applicable to this RFA</v>
      </c>
      <c r="S39" s="1740" t="s">
        <v>1425</v>
      </c>
      <c r="T39" s="1740"/>
      <c r="U39" s="1740"/>
      <c r="V39" s="1740"/>
      <c r="W39" s="1740"/>
      <c r="X39" s="1740"/>
      <c r="Y39" s="1740"/>
      <c r="Z39" s="1740"/>
      <c r="AA39" s="1740"/>
      <c r="AB39" s="1740"/>
      <c r="AC39" s="1740"/>
      <c r="AD39" s="1740"/>
      <c r="AE39" s="1740"/>
      <c r="AF39" s="1740"/>
      <c r="AG39" s="1740"/>
      <c r="AH39" s="1740"/>
      <c r="AI39" s="1740"/>
      <c r="AJ39" s="1740"/>
      <c r="AK39" s="1740"/>
      <c r="AL39" s="1740"/>
      <c r="AM39" s="1740"/>
      <c r="AN39" s="1740"/>
    </row>
    <row r="40" spans="1:40">
      <c r="A40" s="108"/>
      <c r="B40" s="1717" t="s">
        <v>1021</v>
      </c>
      <c r="C40" s="1718"/>
      <c r="D40" s="1718"/>
      <c r="E40" s="1718"/>
      <c r="F40" s="1718"/>
      <c r="G40" s="1718"/>
      <c r="H40" s="1718"/>
      <c r="I40" s="1719"/>
      <c r="J40" s="726" t="str">
        <f>IF(Name_Of_Applicant="","",IF($N40=0,"NA","TBD"))</f>
        <v/>
      </c>
      <c r="K40" s="108"/>
      <c r="L40" s="879" t="str">
        <f>IF(Name_Of_Applicant="","",IF($N40=0,"NA",CHAR(149)&amp;" Needs to be scored after submission"))</f>
        <v/>
      </c>
      <c r="N40" s="588">
        <v>1</v>
      </c>
      <c r="O40" s="42"/>
      <c r="P40" s="14" t="str">
        <f t="shared" si="2"/>
        <v>Applicable to this RFA</v>
      </c>
      <c r="S40" s="1740" t="s">
        <v>1398</v>
      </c>
      <c r="T40" s="1740"/>
      <c r="U40" s="1740"/>
      <c r="V40" s="1740"/>
      <c r="W40" s="1740"/>
      <c r="X40" s="1740"/>
      <c r="Y40" s="1740"/>
      <c r="Z40" s="1740"/>
      <c r="AA40" s="1740"/>
      <c r="AB40" s="1740"/>
      <c r="AC40" s="1740"/>
      <c r="AD40" s="1740"/>
      <c r="AE40" s="1740"/>
      <c r="AF40" s="1740"/>
      <c r="AG40" s="1740"/>
      <c r="AH40" s="1740"/>
      <c r="AI40" s="1740"/>
      <c r="AJ40" s="1740"/>
      <c r="AK40" s="1740"/>
      <c r="AL40" s="1740"/>
      <c r="AM40" s="1740"/>
      <c r="AN40" s="1740"/>
    </row>
    <row r="41" spans="1:40">
      <c r="A41" s="108"/>
      <c r="B41" s="1717" t="s">
        <v>1022</v>
      </c>
      <c r="C41" s="1718"/>
      <c r="D41" s="1718"/>
      <c r="E41" s="1718"/>
      <c r="F41" s="1718"/>
      <c r="G41" s="1718"/>
      <c r="H41" s="1718"/>
      <c r="I41" s="1719"/>
      <c r="J41" s="726" t="str">
        <f>IF(Name_Of_Applicant="","",IF($N41=0,"NA","TBD"))</f>
        <v/>
      </c>
      <c r="K41" s="108"/>
      <c r="L41" s="879" t="str">
        <f>IF(Name_Of_Applicant="","",IF($N41=0,"NA",CHAR(149)&amp;" Needs to be scored after submission"))</f>
        <v/>
      </c>
      <c r="N41" s="588">
        <v>1</v>
      </c>
      <c r="O41" s="42"/>
      <c r="P41" s="14" t="str">
        <f t="shared" si="2"/>
        <v>Applicable to this RFA</v>
      </c>
      <c r="S41" s="1740" t="s">
        <v>1398</v>
      </c>
      <c r="T41" s="1740"/>
      <c r="U41" s="1740"/>
      <c r="V41" s="1740"/>
      <c r="W41" s="1740"/>
      <c r="X41" s="1740"/>
      <c r="Y41" s="1740"/>
      <c r="Z41" s="1740"/>
      <c r="AA41" s="1740"/>
      <c r="AB41" s="1740"/>
      <c r="AC41" s="1740"/>
      <c r="AD41" s="1740"/>
      <c r="AE41" s="1740"/>
      <c r="AF41" s="1740"/>
      <c r="AG41" s="1740"/>
      <c r="AH41" s="1740"/>
      <c r="AI41" s="1740"/>
      <c r="AJ41" s="1740"/>
      <c r="AK41" s="1740"/>
      <c r="AL41" s="1740"/>
      <c r="AM41" s="1740"/>
      <c r="AN41" s="1740"/>
    </row>
    <row r="42" spans="1:40">
      <c r="A42" s="108"/>
      <c r="B42" s="1717" t="s">
        <v>1023</v>
      </c>
      <c r="C42" s="1718"/>
      <c r="D42" s="1718"/>
      <c r="E42" s="1718"/>
      <c r="F42" s="1718"/>
      <c r="G42" s="1718"/>
      <c r="H42" s="1718"/>
      <c r="I42" s="1719"/>
      <c r="J42" s="726" t="str">
        <f>IF(Name_Of_Applicant="","",IF($N42=0,"NA","TBD"))</f>
        <v/>
      </c>
      <c r="K42" s="108"/>
      <c r="L42" s="879" t="str">
        <f>IF(Name_Of_Applicant="","",IF($N42=0,"NA",CHAR(149)&amp;" Needs to be scored after submission"))</f>
        <v/>
      </c>
      <c r="N42" s="588">
        <v>1</v>
      </c>
      <c r="O42" s="42"/>
      <c r="P42" s="14" t="str">
        <f t="shared" si="2"/>
        <v>Applicable to this RFA</v>
      </c>
      <c r="S42" s="1740" t="s">
        <v>1398</v>
      </c>
      <c r="T42" s="1740"/>
      <c r="U42" s="1740"/>
      <c r="V42" s="1740"/>
      <c r="W42" s="1740"/>
      <c r="X42" s="1740"/>
      <c r="Y42" s="1740"/>
      <c r="Z42" s="1740"/>
      <c r="AA42" s="1740"/>
      <c r="AB42" s="1740"/>
      <c r="AC42" s="1740"/>
      <c r="AD42" s="1740"/>
      <c r="AE42" s="1740"/>
      <c r="AF42" s="1740"/>
      <c r="AG42" s="1740"/>
      <c r="AH42" s="1740"/>
      <c r="AI42" s="1740"/>
      <c r="AJ42" s="1740"/>
      <c r="AK42" s="1740"/>
      <c r="AL42" s="1740"/>
      <c r="AM42" s="1740"/>
      <c r="AN42" s="1740"/>
    </row>
    <row r="43" spans="1:40">
      <c r="A43" s="108"/>
      <c r="B43" s="1717" t="s">
        <v>1024</v>
      </c>
      <c r="C43" s="1718"/>
      <c r="D43" s="1718"/>
      <c r="E43" s="1718"/>
      <c r="F43" s="1718"/>
      <c r="G43" s="1718"/>
      <c r="H43" s="1718"/>
      <c r="I43" s="1719"/>
      <c r="J43" s="726" t="str">
        <f>IF(Name_Of_Applicant="","",IF($N43=0,"NA","TBD"))</f>
        <v/>
      </c>
      <c r="K43" s="108"/>
      <c r="L43" s="879" t="str">
        <f>IF(Name_Of_Applicant="","",IF($N43=0,"NA",CHAR(149)&amp;" Needs to be scored after submission"))</f>
        <v/>
      </c>
      <c r="N43" s="588">
        <v>1</v>
      </c>
      <c r="O43" s="42"/>
      <c r="P43" s="14" t="str">
        <f t="shared" si="2"/>
        <v>Applicable to this RFA</v>
      </c>
      <c r="S43" s="1740" t="s">
        <v>1398</v>
      </c>
      <c r="T43" s="1740"/>
      <c r="U43" s="1740"/>
      <c r="V43" s="1740"/>
      <c r="W43" s="1740"/>
      <c r="X43" s="1740"/>
      <c r="Y43" s="1740"/>
      <c r="Z43" s="1740"/>
      <c r="AA43" s="1740"/>
      <c r="AB43" s="1740"/>
      <c r="AC43" s="1740"/>
      <c r="AD43" s="1740"/>
      <c r="AE43" s="1740"/>
      <c r="AF43" s="1740"/>
      <c r="AG43" s="1740"/>
      <c r="AH43" s="1740"/>
      <c r="AI43" s="1740"/>
      <c r="AJ43" s="1740"/>
      <c r="AK43" s="1740"/>
      <c r="AL43" s="1740"/>
      <c r="AM43" s="1740"/>
      <c r="AN43" s="1740"/>
    </row>
    <row r="44" spans="1:40" ht="47.25" customHeight="1">
      <c r="A44" s="108"/>
      <c r="B44" s="1717" t="s">
        <v>1025</v>
      </c>
      <c r="C44" s="1718"/>
      <c r="D44" s="1718"/>
      <c r="E44" s="1718"/>
      <c r="F44" s="1718"/>
      <c r="G44" s="1718"/>
      <c r="H44" s="1718"/>
      <c r="I44" s="1719"/>
      <c r="J44" s="635" t="str">
        <f>IF(Name_Of_Applicant="","",IF($N44=0,"NA",IF(OR(AND('Construction Features'!$K12=1,Green_cert&lt;&gt;"&lt;select one&gt;",OR(Development_Category="New Construction",Development_Category="Redevelopment",Development_Category="Acquisition and Redevelopment")),AND(Green_total_points&gt;=10,OR(Development_Category="Rehabilitation",Development_Category="Acquisition and Rehabilitation",Development_Category="Preservation",Development_Category="Acquisition and Preservation"))),"Yes","No")))</f>
        <v/>
      </c>
      <c r="K44" s="108"/>
      <c r="L44" s="879" t="str">
        <f>IF(AND(Name_Of_Applicant="",Development_Category="&lt;select one&gt;"),"",IF($N44=0,"NA",IF(J44="No",CHAR(149)&amp;" Question 4.A.8.d.("&amp;IF(OR(Development_Category="Rehabilitation",Development_Category="Acquisition and Rehabilitation",Development_Category="Preservation",Development_Category="Acquisition and Preservation"),"3","2")&amp;") not answered",IF(J44="Yes",CHAR(149)&amp;" Question 4.A.8.d.("&amp;IF(OR(Development_Category="Rehabilitation",Development_Category="Acquisition and Rehabilitation",Development_Category="Preservation",Development_Category="Acquisition and Preservation"),"3","2")&amp;") has an eligible response",""))))</f>
        <v/>
      </c>
      <c r="N44" s="588">
        <v>1</v>
      </c>
      <c r="O44" s="42"/>
      <c r="P44" s="14" t="str">
        <f t="shared" si="2"/>
        <v>Applicable to this RFA</v>
      </c>
      <c r="S44" s="1740" t="s">
        <v>1436</v>
      </c>
      <c r="T44" s="1740"/>
      <c r="U44" s="1740"/>
      <c r="V44" s="1740"/>
      <c r="W44" s="1740"/>
      <c r="X44" s="1740"/>
      <c r="Y44" s="1740"/>
      <c r="Z44" s="1740"/>
      <c r="AA44" s="1740"/>
      <c r="AB44" s="1740"/>
      <c r="AC44" s="1740"/>
      <c r="AD44" s="1740"/>
      <c r="AE44" s="1740"/>
      <c r="AF44" s="1740"/>
      <c r="AG44" s="1740"/>
      <c r="AH44" s="1740"/>
      <c r="AI44" s="1740"/>
      <c r="AJ44" s="1740"/>
      <c r="AK44" s="1740"/>
      <c r="AL44" s="1740"/>
      <c r="AM44" s="1740"/>
      <c r="AN44" s="1740"/>
    </row>
    <row r="45" spans="1:40" ht="14.4" customHeight="1">
      <c r="A45" s="108"/>
      <c r="B45" s="1717" t="s">
        <v>1026</v>
      </c>
      <c r="C45" s="1718"/>
      <c r="D45" s="1718"/>
      <c r="E45" s="1718"/>
      <c r="F45" s="1718"/>
      <c r="G45" s="1718"/>
      <c r="H45" s="1718"/>
      <c r="I45" s="1719"/>
      <c r="J45" s="635" t="str">
        <f>IF(Name_Of_Applicant="","",IF(OR($N45=0,AND(Demographic&lt;&gt;"Family",Demographic&lt;&gt;"Workforce",Demographic&lt;&gt;"Elderly Non-ALF",Demographic&lt;&gt;"Elderly ALF")),"NA",IF(OR(LEFT('Resident Programs'!C11,13)="Please select",LEFT('Resident Programs'!C22,13)="Please select"),"No","Yes")))</f>
        <v/>
      </c>
      <c r="K45" s="108"/>
      <c r="L45" s="879" t="str">
        <f>IF(Name_Of_Applicant="","",IF($N45=0,"NA",IF(J45="No",CHAR(149)&amp;" Question 4.A.9."&amp;IF(OR(Demographic="Family",Demographic="Workforce"),"a","b")&amp;". not aswered",CHAR(149)&amp;" Question 4.A.9."&amp;IF(OR(Demographic="Family",Demographic="Workforce"),"a","b")&amp;". has an eligible response")))</f>
        <v/>
      </c>
      <c r="N45" s="588">
        <v>1</v>
      </c>
      <c r="O45" s="42"/>
      <c r="P45" s="14" t="str">
        <f t="shared" si="2"/>
        <v>Applicable to this RFA</v>
      </c>
      <c r="S45" s="1740" t="s">
        <v>1437</v>
      </c>
      <c r="T45" s="1740"/>
      <c r="U45" s="1740"/>
      <c r="V45" s="1740"/>
      <c r="W45" s="1740"/>
      <c r="X45" s="1740"/>
      <c r="Y45" s="1740"/>
      <c r="Z45" s="1740"/>
      <c r="AA45" s="1740"/>
      <c r="AB45" s="1740"/>
      <c r="AC45" s="1740"/>
      <c r="AD45" s="1740"/>
      <c r="AE45" s="1740"/>
      <c r="AF45" s="1740"/>
      <c r="AG45" s="1740"/>
      <c r="AH45" s="1740"/>
      <c r="AI45" s="1740"/>
      <c r="AJ45" s="1740"/>
      <c r="AK45" s="1740"/>
      <c r="AL45" s="1740"/>
      <c r="AM45" s="1740"/>
      <c r="AN45" s="1740"/>
    </row>
    <row r="46" spans="1:40">
      <c r="A46" s="1184" t="s">
        <v>1572</v>
      </c>
      <c r="B46" s="1723" t="s">
        <v>1037</v>
      </c>
      <c r="C46" s="1724"/>
      <c r="D46" s="1724"/>
      <c r="E46" s="1724"/>
      <c r="F46" s="1724"/>
      <c r="G46" s="1724"/>
      <c r="H46" s="1724"/>
      <c r="I46" s="1725"/>
      <c r="J46" s="635" t="str">
        <f>IF(Name_Of_Applicant="","",IF(OR($N46=0,Funding!K15=0),"NA",IF(N(Workforce_Request_Amount)&gt;0,"Yes","No")))</f>
        <v/>
      </c>
      <c r="K46" s="108"/>
      <c r="L46" s="879" t="str">
        <f>IF(Name_Of_Applicant="","",IF(OR($N46=0,Funding!K15=0),"NA",IF(J46="No",CHAR(149)&amp;" Question 4.A.10.a.("&amp;Funding!B4&amp;")(a) not answered",IF(J46="Yes",CHAR(149)&amp;" Question 4.A.10.a.("&amp;Funding!B4&amp;")(a) has an eligible response",""))))</f>
        <v/>
      </c>
      <c r="N46" s="588">
        <v>1</v>
      </c>
      <c r="O46" s="42"/>
      <c r="P46" s="14" t="str">
        <f t="shared" si="0"/>
        <v>Applicable to this RFA</v>
      </c>
      <c r="S46" s="1740" t="s">
        <v>1438</v>
      </c>
      <c r="T46" s="1740"/>
      <c r="U46" s="1740"/>
      <c r="V46" s="1740"/>
      <c r="W46" s="1740"/>
      <c r="X46" s="1740"/>
      <c r="Y46" s="1740"/>
      <c r="Z46" s="1740"/>
      <c r="AA46" s="1740"/>
      <c r="AB46" s="1740"/>
      <c r="AC46" s="1740"/>
      <c r="AD46" s="1740"/>
      <c r="AE46" s="1740"/>
      <c r="AF46" s="1740"/>
      <c r="AG46" s="1740"/>
      <c r="AH46" s="1740"/>
      <c r="AI46" s="1740"/>
      <c r="AJ46" s="1740"/>
      <c r="AK46" s="1740"/>
      <c r="AL46" s="1740"/>
      <c r="AM46" s="1740"/>
      <c r="AN46" s="1740"/>
    </row>
    <row r="47" spans="1:40">
      <c r="A47" s="1184" t="s">
        <v>1572</v>
      </c>
      <c r="B47" s="1723" t="s">
        <v>1027</v>
      </c>
      <c r="C47" s="1724"/>
      <c r="D47" s="1724"/>
      <c r="E47" s="1724"/>
      <c r="F47" s="1724"/>
      <c r="G47" s="1724"/>
      <c r="H47" s="1724"/>
      <c r="I47" s="1725"/>
      <c r="J47" s="635" t="str">
        <f>IF(Name_Of_Applicant="","",IF(OR($N47=0,Funding!K34=0),"NA",IF(N(SAIL_Request_Amount)&gt;0,"Yes","No")))</f>
        <v/>
      </c>
      <c r="K47" s="108"/>
      <c r="L47" s="879" t="str">
        <f>IF(Name_Of_Applicant="","",IF(OR($N47=0,Funding!K34=0),"NA",IF(J47="No",CHAR(149)&amp;" Question 4.A.10.a.("&amp;Funding!B17&amp;")(a) not answered",IF(J47="Yes",CHAR(149)&amp;" Question 4.A.10.a.("&amp;Funding!B17&amp;")(a) has an eligible response",""))))</f>
        <v/>
      </c>
      <c r="N47" s="588">
        <v>1</v>
      </c>
      <c r="O47" s="42"/>
      <c r="P47" s="14" t="str">
        <f t="shared" si="0"/>
        <v>Applicable to this RFA</v>
      </c>
      <c r="S47" s="1740" t="s">
        <v>1439</v>
      </c>
      <c r="T47" s="1740"/>
      <c r="U47" s="1740"/>
      <c r="V47" s="1740"/>
      <c r="W47" s="1740"/>
      <c r="X47" s="1740"/>
      <c r="Y47" s="1740"/>
      <c r="Z47" s="1740"/>
      <c r="AA47" s="1740"/>
      <c r="AB47" s="1740"/>
      <c r="AC47" s="1740"/>
      <c r="AD47" s="1740"/>
      <c r="AE47" s="1740"/>
      <c r="AF47" s="1740"/>
      <c r="AG47" s="1740"/>
      <c r="AH47" s="1740"/>
      <c r="AI47" s="1740"/>
      <c r="AJ47" s="1740"/>
      <c r="AK47" s="1740"/>
      <c r="AL47" s="1740"/>
      <c r="AM47" s="1740"/>
      <c r="AN47" s="1740"/>
    </row>
    <row r="48" spans="1:40">
      <c r="A48" s="1184" t="s">
        <v>1572</v>
      </c>
      <c r="B48" s="1723" t="s">
        <v>1028</v>
      </c>
      <c r="C48" s="1724"/>
      <c r="D48" s="1724"/>
      <c r="E48" s="1724"/>
      <c r="F48" s="1724"/>
      <c r="G48" s="1724"/>
      <c r="H48" s="1724"/>
      <c r="I48" s="1725"/>
      <c r="J48" s="635" t="str">
        <f>IF(Name_Of_Applicant="","",IF(OR($N48=0,Funding!K34=0,County&lt;&gt;"Miami-Dade"),"NA",IF(N(SAIL_Request_Amount)&gt;=DS_SAIL_PD_Min_MD,"Yes","No")))</f>
        <v/>
      </c>
      <c r="K48" s="108"/>
      <c r="L48" s="879" t="str">
        <f>IF(Name_Of_Applicant="","",IF(OR($N48=0,Funding!K34=0,County&lt;&gt;"Miami-Dade"),"NA",IF(J48="No",CHAR(149)&amp;" The response to Question 4.A.10.a.("&amp;Funding!B17&amp;")(a) does not meet the minimum",IF(J48="Yes",CHAR(149)&amp;" The response to Question 4.A.10.a.("&amp;Funding!B17&amp;")(a) meets the minimum",""))))</f>
        <v/>
      </c>
      <c r="N48" s="588">
        <v>1</v>
      </c>
      <c r="O48" s="42"/>
      <c r="P48" s="14" t="str">
        <f t="shared" si="0"/>
        <v>Applicable to this RFA</v>
      </c>
      <c r="S48" s="1740" t="s">
        <v>1440</v>
      </c>
      <c r="T48" s="1740"/>
      <c r="U48" s="1740"/>
      <c r="V48" s="1740"/>
      <c r="W48" s="1740"/>
      <c r="X48" s="1740"/>
      <c r="Y48" s="1740"/>
      <c r="Z48" s="1740"/>
      <c r="AA48" s="1740"/>
      <c r="AB48" s="1740"/>
      <c r="AC48" s="1740"/>
      <c r="AD48" s="1740"/>
      <c r="AE48" s="1740"/>
      <c r="AF48" s="1740"/>
      <c r="AG48" s="1740"/>
      <c r="AH48" s="1740"/>
      <c r="AI48" s="1740"/>
      <c r="AJ48" s="1740"/>
      <c r="AK48" s="1740"/>
      <c r="AL48" s="1740"/>
      <c r="AM48" s="1740"/>
      <c r="AN48" s="1740"/>
    </row>
    <row r="49" spans="1:40" ht="14.4" customHeight="1">
      <c r="A49" s="1184" t="s">
        <v>1572</v>
      </c>
      <c r="B49" s="1723" t="s">
        <v>1038</v>
      </c>
      <c r="C49" s="1724"/>
      <c r="D49" s="1724"/>
      <c r="E49" s="1724"/>
      <c r="F49" s="1724"/>
      <c r="G49" s="1724"/>
      <c r="H49" s="1724"/>
      <c r="I49" s="1725"/>
      <c r="J49" s="635" t="str">
        <f>IF(Name_Of_Applicant="","",IF(OR($N49=0,Funding!K42=0),"NA",IF(N(ELI_Request_Amount)&gt;0,"Yes","No")))</f>
        <v/>
      </c>
      <c r="K49" s="108"/>
      <c r="L49" s="879" t="str">
        <f>IF(Name_Of_Applicant="","",IF(OR($N49=0,Funding!K42=0),"NA",IF(J49="No",CHAR(149)&amp;" Question 4.A.10.a.("&amp;Funding!B17&amp;")"&amp;Funding!C42&amp;" not answered",IF(J49="Yes",CHAR(149)&amp;" Question 4.A.10.a.("&amp;Funding!B17&amp;")"&amp;Funding!C42&amp;" has an eligible response",""))))</f>
        <v/>
      </c>
      <c r="N49" s="588">
        <v>1</v>
      </c>
      <c r="O49" s="42"/>
      <c r="P49" s="14" t="str">
        <f t="shared" si="0"/>
        <v>Applicable to this RFA</v>
      </c>
      <c r="S49" s="1740" t="s">
        <v>1441</v>
      </c>
      <c r="T49" s="1740"/>
      <c r="U49" s="1740"/>
      <c r="V49" s="1740"/>
      <c r="W49" s="1740"/>
      <c r="X49" s="1740"/>
      <c r="Y49" s="1740"/>
      <c r="Z49" s="1740"/>
      <c r="AA49" s="1740"/>
      <c r="AB49" s="1740"/>
      <c r="AC49" s="1740"/>
      <c r="AD49" s="1740"/>
      <c r="AE49" s="1740"/>
      <c r="AF49" s="1740"/>
      <c r="AG49" s="1740"/>
      <c r="AH49" s="1740"/>
      <c r="AI49" s="1740"/>
      <c r="AJ49" s="1740"/>
      <c r="AK49" s="1740"/>
      <c r="AL49" s="1740"/>
      <c r="AM49" s="1740"/>
      <c r="AN49" s="1740"/>
    </row>
    <row r="50" spans="1:40">
      <c r="A50" s="1184" t="s">
        <v>1572</v>
      </c>
      <c r="B50" s="1723" t="s">
        <v>1422</v>
      </c>
      <c r="C50" s="1724"/>
      <c r="D50" s="1724"/>
      <c r="E50" s="1724"/>
      <c r="F50" s="1724"/>
      <c r="G50" s="1724"/>
      <c r="H50" s="1724"/>
      <c r="I50" s="1725"/>
      <c r="J50" s="635" t="str">
        <f>IF(Name_Of_Applicant="","",IF(OR($N50=0,Funding!K59=0),"NA",IF(N(HOME_Request_Amount)&gt;0,"Yes","No")))</f>
        <v/>
      </c>
      <c r="K50" s="108"/>
      <c r="L50" s="879" t="str">
        <f>IF(Name_Of_Applicant="","",IF(OR($N50=0,Funding!K59=0),"NA",IF(J50="No",CHAR(149)&amp;" Question 4.A.10.a.("&amp;Funding!B44&amp;")(a) not answered",IF(J50="Yes",CHAR(149)&amp;" Question 4.A.10.a.("&amp;Funding!B44&amp;")(a) has an eligible response",""))))</f>
        <v/>
      </c>
      <c r="N50" s="588">
        <v>1</v>
      </c>
      <c r="O50" s="42"/>
      <c r="P50" s="14" t="str">
        <f t="shared" si="0"/>
        <v>Applicable to this RFA</v>
      </c>
      <c r="S50" s="1740" t="s">
        <v>1442</v>
      </c>
      <c r="T50" s="1740"/>
      <c r="U50" s="1740"/>
      <c r="V50" s="1740"/>
      <c r="W50" s="1740"/>
      <c r="X50" s="1740"/>
      <c r="Y50" s="1740"/>
      <c r="Z50" s="1740"/>
      <c r="AA50" s="1740"/>
      <c r="AB50" s="1740"/>
      <c r="AC50" s="1740"/>
      <c r="AD50" s="1740"/>
      <c r="AE50" s="1740"/>
      <c r="AF50" s="1740"/>
      <c r="AG50" s="1740"/>
      <c r="AH50" s="1740"/>
      <c r="AI50" s="1740"/>
      <c r="AJ50" s="1740"/>
      <c r="AK50" s="1740"/>
      <c r="AL50" s="1740"/>
      <c r="AM50" s="1740"/>
      <c r="AN50" s="1740"/>
    </row>
    <row r="51" spans="1:40">
      <c r="A51" s="1184" t="s">
        <v>1572</v>
      </c>
      <c r="B51" s="1723" t="s">
        <v>1039</v>
      </c>
      <c r="C51" s="1724"/>
      <c r="D51" s="1724"/>
      <c r="E51" s="1724"/>
      <c r="F51" s="1724"/>
      <c r="G51" s="1724"/>
      <c r="H51" s="1724"/>
      <c r="I51" s="1725"/>
      <c r="J51" s="635" t="str">
        <f>IF(Name_Of_Applicant="","",IF(OR($N51=0,Funding!K78=0),"NA",IF(N(Grant_Request_Amount)&gt;0,"Yes","No")))</f>
        <v/>
      </c>
      <c r="K51" s="108"/>
      <c r="L51" s="879" t="str">
        <f>IF(Name_Of_Applicant="","",IF(OR($N51=0,Funding!K78=0),"NA",IF(J51="No",CHAR(149)&amp;" Question 4.A.10.a.("&amp;Funding!B74&amp;")(a) not answered",IF(J51="Yes",CHAR(149)&amp;" Question 4.A.10.a.("&amp;Funding!B74&amp;")(a) has an eligible response",""))))</f>
        <v/>
      </c>
      <c r="N51" s="588">
        <v>1</v>
      </c>
      <c r="O51" s="42"/>
      <c r="P51" s="14" t="str">
        <f t="shared" si="0"/>
        <v>Applicable to this RFA</v>
      </c>
      <c r="S51" s="1740" t="s">
        <v>1443</v>
      </c>
      <c r="T51" s="1740"/>
      <c r="U51" s="1740"/>
      <c r="V51" s="1740"/>
      <c r="W51" s="1740"/>
      <c r="X51" s="1740"/>
      <c r="Y51" s="1740"/>
      <c r="Z51" s="1740"/>
      <c r="AA51" s="1740"/>
      <c r="AB51" s="1740"/>
      <c r="AC51" s="1740"/>
      <c r="AD51" s="1740"/>
      <c r="AE51" s="1740"/>
      <c r="AF51" s="1740"/>
      <c r="AG51" s="1740"/>
      <c r="AH51" s="1740"/>
      <c r="AI51" s="1740"/>
      <c r="AJ51" s="1740"/>
      <c r="AK51" s="1740"/>
      <c r="AL51" s="1740"/>
      <c r="AM51" s="1740"/>
      <c r="AN51" s="1740"/>
    </row>
    <row r="52" spans="1:40">
      <c r="A52" s="1184" t="s">
        <v>1572</v>
      </c>
      <c r="B52" s="1723" t="s">
        <v>1040</v>
      </c>
      <c r="C52" s="1724"/>
      <c r="D52" s="1724"/>
      <c r="E52" s="1724"/>
      <c r="F52" s="1724"/>
      <c r="G52" s="1724"/>
      <c r="H52" s="1724"/>
      <c r="I52" s="1725"/>
      <c r="J52" s="635" t="str">
        <f>IF(Name_Of_Applicant="","",IF(OR($N52=0,Funding!K125=0),"NA",IF(N(Competitive_HC_Request_Amount)&gt;0,"Yes","No")))</f>
        <v/>
      </c>
      <c r="K52" s="108"/>
      <c r="L52" s="879" t="str">
        <f>IF(Name_Of_Applicant="","",IF(OR($N52=0,Funding!K125=0),"NA",IF(J52="No",CHAR(149)&amp;" Question 4.A.10.a.("&amp;Funding!B106&amp;")(a) not answered",IF(J52="Yes",CHAR(149)&amp;" Question 4.A.10.a.("&amp;Funding!B106&amp;")(a) has an eligible response",""))))</f>
        <v/>
      </c>
      <c r="N52" s="588">
        <v>1</v>
      </c>
      <c r="O52" s="42"/>
      <c r="P52" s="14" t="str">
        <f t="shared" si="0"/>
        <v>Applicable to this RFA</v>
      </c>
      <c r="S52" s="1740" t="s">
        <v>1444</v>
      </c>
      <c r="T52" s="1740"/>
      <c r="U52" s="1740"/>
      <c r="V52" s="1740"/>
      <c r="W52" s="1740"/>
      <c r="X52" s="1740"/>
      <c r="Y52" s="1740"/>
      <c r="Z52" s="1740"/>
      <c r="AA52" s="1740"/>
      <c r="AB52" s="1740"/>
      <c r="AC52" s="1740"/>
      <c r="AD52" s="1740"/>
      <c r="AE52" s="1740"/>
      <c r="AF52" s="1740"/>
      <c r="AG52" s="1740"/>
      <c r="AH52" s="1740"/>
      <c r="AI52" s="1740"/>
      <c r="AJ52" s="1740"/>
      <c r="AK52" s="1740"/>
      <c r="AL52" s="1740"/>
      <c r="AM52" s="1740"/>
      <c r="AN52" s="1740"/>
    </row>
    <row r="53" spans="1:40">
      <c r="A53" s="1184" t="s">
        <v>1572</v>
      </c>
      <c r="B53" s="1723" t="s">
        <v>1029</v>
      </c>
      <c r="C53" s="1724"/>
      <c r="D53" s="1724"/>
      <c r="E53" s="1724"/>
      <c r="F53" s="1724"/>
      <c r="G53" s="1724"/>
      <c r="H53" s="1724"/>
      <c r="I53" s="1725"/>
      <c r="J53" s="635" t="str">
        <f>IF(Name_Of_Applicant="","",IF(OR($N53=0,Funding!K127=0),"NA",IF(N(Non_Competitive_HC_Request_Amount)&gt;0,"Yes","No")))</f>
        <v/>
      </c>
      <c r="K53" s="108"/>
      <c r="L53" s="879" t="str">
        <f>IF(Name_Of_Applicant="","",IF(OR($N53=0,Funding!K127=0),"NA",IF(J53="No",CHAR(149)&amp;" Question 4.A.10.a.("&amp;Funding!B106&amp;")(a) not answered",IF(J53="Yes",CHAR(149)&amp;" Question 4.A.10.a.("&amp;Funding!B106&amp;")(a) has an eligible response",""))))</f>
        <v/>
      </c>
      <c r="N53" s="588">
        <v>1</v>
      </c>
      <c r="O53" s="42"/>
      <c r="P53" s="14" t="str">
        <f t="shared" si="0"/>
        <v>Applicable to this RFA</v>
      </c>
      <c r="S53" s="1740" t="s">
        <v>1445</v>
      </c>
      <c r="T53" s="1740"/>
      <c r="U53" s="1740"/>
      <c r="V53" s="1740"/>
      <c r="W53" s="1740"/>
      <c r="X53" s="1740"/>
      <c r="Y53" s="1740"/>
      <c r="Z53" s="1740"/>
      <c r="AA53" s="1740"/>
      <c r="AB53" s="1740"/>
      <c r="AC53" s="1740"/>
      <c r="AD53" s="1740"/>
      <c r="AE53" s="1740"/>
      <c r="AF53" s="1740"/>
      <c r="AG53" s="1740"/>
      <c r="AH53" s="1740"/>
      <c r="AI53" s="1740"/>
      <c r="AJ53" s="1740"/>
      <c r="AK53" s="1740"/>
      <c r="AL53" s="1740"/>
      <c r="AM53" s="1740"/>
      <c r="AN53" s="1740"/>
    </row>
    <row r="54" spans="1:40" ht="44.1" customHeight="1">
      <c r="A54" s="1184" t="s">
        <v>1572</v>
      </c>
      <c r="B54" s="1723" t="s">
        <v>1030</v>
      </c>
      <c r="C54" s="1724"/>
      <c r="D54" s="1724"/>
      <c r="E54" s="1724"/>
      <c r="F54" s="1724"/>
      <c r="G54" s="1724"/>
      <c r="H54" s="1724"/>
      <c r="I54" s="1725"/>
      <c r="J54" s="635" t="str">
        <f>IF(Name_Of_Applicant="","",IF(OR($N54=0,Funding!K185=0),"NA",IF(N(MMRB_Request_Amount)&gt;0,"Yes",IF(AND(N(ConstrAnalysis__1st_Mtg)&gt;0,ConstrAnalysis__1st_Type="Local HFA Bonds"),"TBD","No"))))</f>
        <v/>
      </c>
      <c r="K54" s="108"/>
      <c r="L54" s="879" t="str">
        <f>IF(Name_Of_Applicant="","",IF(OR($N54=0,Funding!K185=0),"NA",IF(J54="No",CHAR(149)&amp;" Neither Question 4.A.10.a.("&amp;Funding!B185&amp;") nor the First Mortgage Financing entry in the Construction/Rehab Analsys portion of the Development Cost Pro Forma were completely answered",IF(J54="Yes",CHAR(149)&amp;" Question 4.A.10.a.("&amp;Funding!B185&amp;") has an eligible response",CHAR(149)&amp;" Other Required Information will need to be scored after submission"))))</f>
        <v/>
      </c>
      <c r="N54" s="588">
        <v>1</v>
      </c>
      <c r="O54" s="42"/>
      <c r="P54" s="14" t="str">
        <f t="shared" si="0"/>
        <v>Applicable to this RFA</v>
      </c>
      <c r="S54" s="1740" t="s">
        <v>1446</v>
      </c>
      <c r="T54" s="1740"/>
      <c r="U54" s="1740"/>
      <c r="V54" s="1740"/>
      <c r="W54" s="1740"/>
      <c r="X54" s="1740"/>
      <c r="Y54" s="1740"/>
      <c r="Z54" s="1740"/>
      <c r="AA54" s="1740"/>
      <c r="AB54" s="1740"/>
      <c r="AC54" s="1740"/>
      <c r="AD54" s="1740"/>
      <c r="AE54" s="1740"/>
      <c r="AF54" s="1740"/>
      <c r="AG54" s="1740"/>
      <c r="AH54" s="1740"/>
      <c r="AI54" s="1740"/>
      <c r="AJ54" s="1740"/>
      <c r="AK54" s="1740"/>
      <c r="AL54" s="1740"/>
      <c r="AM54" s="1740"/>
      <c r="AN54" s="1740"/>
    </row>
    <row r="55" spans="1:40" ht="57.9" customHeight="1">
      <c r="A55" s="1184" t="s">
        <v>1572</v>
      </c>
      <c r="B55" s="1720" t="s">
        <v>1031</v>
      </c>
      <c r="C55" s="1721"/>
      <c r="D55" s="1721"/>
      <c r="E55" s="1721"/>
      <c r="F55" s="1721"/>
      <c r="G55" s="1721"/>
      <c r="H55" s="1721"/>
      <c r="I55" s="1722"/>
      <c r="J55" s="635" t="str">
        <f>IF(Name_Of_Applicant="","",IF($N55=0,"NA",IF(OR(N(TDC_total)=0,N(ConstrAnalysis_totalsources)=0,N(ConstrAnalysis_surplus)&lt;0,N(PermAnalysis_totalsources)=0,N(PermAnalysis_surplus)&lt;0),"No","Yes")))</f>
        <v/>
      </c>
      <c r="K55" s="108"/>
      <c r="L55" s="879" t="str">
        <f>IF(Name_Of_Applicant="","",IF($N55=0,"NA",IF(J55="No",CHAR(149)&amp;IF(N(TDC_total)=0," Total Development Costs have not been detailed.","")&amp;IF(N(ConstrAnalysis_totalsources)=0," Contruction Funding Sources have not been detailed.","")&amp;IF(N(PermAnalysis_totalsources)=0," Permanent Funding Sources have not been detailed.","")&amp;IF(N(ConstrAnalysis_surplus)&lt;0," There is a funding shortfall in the Construction Funding Sources section.","")&amp;IF(N(PermAnalysis_surplus)&lt;0," There is a funding shortfall in the Permanent Funding Sources section.",""),CHAR(149)&amp;" Development Costs were provided in the Development Cost Proforma, Construction and Permanent Funding Sources were provided and sources equal or exceed uses")))</f>
        <v/>
      </c>
      <c r="N55" s="588">
        <v>1</v>
      </c>
      <c r="O55" s="42"/>
      <c r="P55" s="14" t="str">
        <f t="shared" si="0"/>
        <v>Applicable to this RFA</v>
      </c>
      <c r="S55" s="1740" t="s">
        <v>1447</v>
      </c>
      <c r="T55" s="1740"/>
      <c r="U55" s="1740"/>
      <c r="V55" s="1740"/>
      <c r="W55" s="1740"/>
      <c r="X55" s="1740"/>
      <c r="Y55" s="1740"/>
      <c r="Z55" s="1740"/>
      <c r="AA55" s="1740"/>
      <c r="AB55" s="1740"/>
      <c r="AC55" s="1740"/>
      <c r="AD55" s="1740"/>
      <c r="AE55" s="1740"/>
      <c r="AF55" s="1740"/>
      <c r="AG55" s="1740"/>
      <c r="AH55" s="1740"/>
      <c r="AI55" s="1740"/>
      <c r="AJ55" s="1740"/>
      <c r="AK55" s="1740"/>
      <c r="AL55" s="1740"/>
      <c r="AM55" s="1740"/>
      <c r="AN55" s="1740"/>
    </row>
    <row r="56" spans="1:40">
      <c r="A56" s="1208"/>
      <c r="B56" s="1717" t="s">
        <v>1032</v>
      </c>
      <c r="C56" s="1718"/>
      <c r="D56" s="1718"/>
      <c r="E56" s="1718"/>
      <c r="F56" s="1718"/>
      <c r="G56" s="1718"/>
      <c r="H56" s="1718"/>
      <c r="I56" s="1719"/>
      <c r="J56" s="726" t="str">
        <f>IF(Name_Of_Applicant="","",IF($N56=0,"NA","TBD"))</f>
        <v/>
      </c>
      <c r="K56" s="108"/>
      <c r="L56" s="879" t="str">
        <f>IF(Name_Of_Applicant="","",IF($N56=0,"NA",CHAR(149)&amp;" Needs to be scored after submission"))</f>
        <v/>
      </c>
      <c r="N56" s="588">
        <v>1</v>
      </c>
      <c r="O56" s="42"/>
      <c r="P56" s="14" t="str">
        <f t="shared" si="0"/>
        <v>Applicable to this RFA</v>
      </c>
      <c r="S56" s="1740" t="s">
        <v>1398</v>
      </c>
      <c r="T56" s="1740"/>
      <c r="U56" s="1740"/>
      <c r="V56" s="1740"/>
      <c r="W56" s="1740"/>
      <c r="X56" s="1740"/>
      <c r="Y56" s="1740"/>
      <c r="Z56" s="1740"/>
      <c r="AA56" s="1740"/>
      <c r="AB56" s="1740"/>
      <c r="AC56" s="1740"/>
      <c r="AD56" s="1740"/>
      <c r="AE56" s="1740"/>
      <c r="AF56" s="1740"/>
      <c r="AG56" s="1740"/>
      <c r="AH56" s="1740"/>
      <c r="AI56" s="1740"/>
      <c r="AJ56" s="1740"/>
      <c r="AK56" s="1740"/>
      <c r="AL56" s="1740"/>
      <c r="AM56" s="1740"/>
      <c r="AN56" s="1740"/>
    </row>
    <row r="57" spans="1:40" ht="29.1" customHeight="1">
      <c r="A57" s="1208"/>
      <c r="B57" s="1717" t="s">
        <v>1033</v>
      </c>
      <c r="C57" s="1718"/>
      <c r="D57" s="1718"/>
      <c r="E57" s="1718"/>
      <c r="F57" s="1718"/>
      <c r="G57" s="1718"/>
      <c r="H57" s="1718"/>
      <c r="I57" s="1719"/>
      <c r="J57" s="726" t="str">
        <f>IF(Name_Of_Applicant="","",IF($N57=0,"NA","TBD"))</f>
        <v/>
      </c>
      <c r="K57" s="108"/>
      <c r="L57" s="879" t="str">
        <f>IF(Name_Of_Applicant="","",IF($N57=0,"NA",CHAR(149)&amp;" Needs to be scored after submission"))</f>
        <v/>
      </c>
      <c r="N57" s="588">
        <v>1</v>
      </c>
      <c r="O57" s="42"/>
      <c r="P57" s="14" t="str">
        <f t="shared" si="0"/>
        <v>Applicable to this RFA</v>
      </c>
      <c r="S57" s="1740" t="s">
        <v>1398</v>
      </c>
      <c r="T57" s="1740"/>
      <c r="U57" s="1740"/>
      <c r="V57" s="1740"/>
      <c r="W57" s="1740"/>
      <c r="X57" s="1740"/>
      <c r="Y57" s="1740"/>
      <c r="Z57" s="1740"/>
      <c r="AA57" s="1740"/>
      <c r="AB57" s="1740"/>
      <c r="AC57" s="1740"/>
      <c r="AD57" s="1740"/>
      <c r="AE57" s="1740"/>
      <c r="AF57" s="1740"/>
      <c r="AG57" s="1740"/>
      <c r="AH57" s="1740"/>
      <c r="AI57" s="1740"/>
      <c r="AJ57" s="1740"/>
      <c r="AK57" s="1740"/>
      <c r="AL57" s="1740"/>
      <c r="AM57" s="1740"/>
      <c r="AN57" s="1740"/>
    </row>
    <row r="58" spans="1:40">
      <c r="A58" s="1208"/>
      <c r="B58" s="1717" t="s">
        <v>1034</v>
      </c>
      <c r="C58" s="1718"/>
      <c r="D58" s="1718"/>
      <c r="E58" s="1718"/>
      <c r="F58" s="1718"/>
      <c r="G58" s="1718"/>
      <c r="H58" s="1718"/>
      <c r="I58" s="1719"/>
      <c r="J58" s="726" t="str">
        <f>IF(Name_Of_Applicant="","",IF($N58=0,"NA","TBD"))</f>
        <v/>
      </c>
      <c r="K58" s="108"/>
      <c r="L58" s="879" t="str">
        <f>IF(Name_Of_Applicant="","",IF($N58=0,"NA",CHAR(149)&amp;" Needs to be scored after submission"))</f>
        <v/>
      </c>
      <c r="N58" s="588">
        <v>1</v>
      </c>
      <c r="O58" s="42"/>
      <c r="P58" s="14" t="str">
        <f t="shared" si="0"/>
        <v>Applicable to this RFA</v>
      </c>
      <c r="S58" s="1740" t="s">
        <v>1398</v>
      </c>
      <c r="T58" s="1740"/>
      <c r="U58" s="1740"/>
      <c r="V58" s="1740"/>
      <c r="W58" s="1740"/>
      <c r="X58" s="1740"/>
      <c r="Y58" s="1740"/>
      <c r="Z58" s="1740"/>
      <c r="AA58" s="1740"/>
      <c r="AB58" s="1740"/>
      <c r="AC58" s="1740"/>
      <c r="AD58" s="1740"/>
      <c r="AE58" s="1740"/>
      <c r="AF58" s="1740"/>
      <c r="AG58" s="1740"/>
      <c r="AH58" s="1740"/>
      <c r="AI58" s="1740"/>
      <c r="AJ58" s="1740"/>
      <c r="AK58" s="1740"/>
      <c r="AL58" s="1740"/>
      <c r="AM58" s="1740"/>
      <c r="AN58" s="1740"/>
    </row>
    <row r="59" spans="1:40" ht="44.1" customHeight="1">
      <c r="A59" s="1184" t="s">
        <v>1572</v>
      </c>
      <c r="B59" s="1720" t="s">
        <v>1035</v>
      </c>
      <c r="C59" s="1721"/>
      <c r="D59" s="1721"/>
      <c r="E59" s="1721"/>
      <c r="F59" s="1721"/>
      <c r="G59" s="1721"/>
      <c r="H59" s="1721"/>
      <c r="I59" s="1722"/>
      <c r="J59" s="635" t="str">
        <f>IF(Name_Of_Applicant="","",IF($N59=0,"NA",IF('Pro Forma'!L413="No","No","Yes")))</f>
        <v/>
      </c>
      <c r="K59" s="108"/>
      <c r="L59" s="879" t="str">
        <f>IF(Name_Of_Applicant="","",IF($N59=0,"NA",IF(J59="No",CHAR(149)&amp;" The Total Development Cost Per Unit Limitation requirements established in the RFA for your proposed Development have not been met",CHAR(149)&amp;" The Total Development Cost Per Unit Limitation requirements established in the RFA for your proposed Development have been met")))</f>
        <v/>
      </c>
      <c r="N59" s="588">
        <v>1</v>
      </c>
      <c r="O59" s="42"/>
      <c r="P59" s="14" t="str">
        <f t="shared" si="0"/>
        <v>Applicable to this RFA</v>
      </c>
      <c r="S59" s="1740" t="s">
        <v>1426</v>
      </c>
      <c r="T59" s="1740"/>
      <c r="U59" s="1740"/>
      <c r="V59" s="1740"/>
      <c r="W59" s="1740"/>
      <c r="X59" s="1740"/>
      <c r="Y59" s="1740"/>
      <c r="Z59" s="1740"/>
      <c r="AA59" s="1740"/>
      <c r="AB59" s="1740"/>
      <c r="AC59" s="1740"/>
      <c r="AD59" s="1740"/>
      <c r="AE59" s="1740"/>
      <c r="AF59" s="1740"/>
      <c r="AG59" s="1740"/>
      <c r="AH59" s="1740"/>
      <c r="AI59" s="1740"/>
      <c r="AJ59" s="1740"/>
      <c r="AK59" s="1740"/>
      <c r="AL59" s="1740"/>
      <c r="AM59" s="1740"/>
      <c r="AN59" s="1740"/>
    </row>
    <row r="60" spans="1:40">
      <c r="B60" s="517"/>
      <c r="C60" s="518"/>
      <c r="D60" s="518"/>
      <c r="E60" s="518"/>
      <c r="F60" s="518"/>
      <c r="G60" s="518"/>
      <c r="H60" s="518"/>
      <c r="I60" s="519"/>
      <c r="J60" s="523"/>
      <c r="K60" s="108"/>
      <c r="L60" s="879"/>
      <c r="N60" s="588">
        <v>1</v>
      </c>
      <c r="O60" s="42"/>
      <c r="P60" s="14" t="str">
        <f t="shared" si="0"/>
        <v>Applicable to this RFA</v>
      </c>
    </row>
    <row r="61" spans="1:40">
      <c r="B61" s="517"/>
      <c r="C61" s="518"/>
      <c r="D61" s="518"/>
      <c r="E61" s="518"/>
      <c r="F61" s="518"/>
      <c r="G61" s="518"/>
      <c r="H61" s="518"/>
      <c r="I61" s="519"/>
      <c r="J61" s="523"/>
      <c r="K61" s="108"/>
      <c r="L61" s="879"/>
      <c r="N61" s="588">
        <v>1</v>
      </c>
      <c r="O61" s="42"/>
      <c r="P61" s="14" t="str">
        <f t="shared" si="0"/>
        <v>Applicable to this RFA</v>
      </c>
    </row>
    <row r="62" spans="1:40">
      <c r="B62" s="517"/>
      <c r="C62" s="518"/>
      <c r="D62" s="518"/>
      <c r="E62" s="518"/>
      <c r="F62" s="518"/>
      <c r="G62" s="518"/>
      <c r="H62" s="518"/>
      <c r="I62" s="519"/>
      <c r="J62" s="523"/>
      <c r="K62" s="108"/>
      <c r="L62" s="879"/>
      <c r="N62" s="588">
        <v>1</v>
      </c>
      <c r="O62" s="42"/>
      <c r="P62" s="14" t="str">
        <f t="shared" si="0"/>
        <v>Applicable to this RFA</v>
      </c>
    </row>
    <row r="63" spans="1:40">
      <c r="B63" s="517"/>
      <c r="C63" s="518"/>
      <c r="D63" s="518"/>
      <c r="E63" s="518"/>
      <c r="F63" s="518"/>
      <c r="G63" s="518"/>
      <c r="H63" s="518"/>
      <c r="I63" s="519"/>
      <c r="J63" s="523"/>
      <c r="K63" s="108"/>
      <c r="L63" s="879"/>
      <c r="N63" s="588">
        <v>1</v>
      </c>
      <c r="O63" s="42"/>
      <c r="P63" s="14" t="str">
        <f t="shared" si="0"/>
        <v>Applicable to this RFA</v>
      </c>
    </row>
    <row r="64" spans="1:40">
      <c r="B64" s="517"/>
      <c r="C64" s="518"/>
      <c r="D64" s="518"/>
      <c r="E64" s="518"/>
      <c r="F64" s="518"/>
      <c r="G64" s="518"/>
      <c r="H64" s="518"/>
      <c r="I64" s="519"/>
      <c r="J64" s="523"/>
      <c r="K64" s="108"/>
      <c r="L64" s="879"/>
      <c r="N64" s="588">
        <v>1</v>
      </c>
      <c r="O64" s="42"/>
      <c r="P64" s="14" t="str">
        <f t="shared" si="0"/>
        <v>Applicable to this RFA</v>
      </c>
    </row>
    <row r="65" spans="2:16">
      <c r="B65" s="517"/>
      <c r="C65" s="518"/>
      <c r="D65" s="518"/>
      <c r="E65" s="518"/>
      <c r="F65" s="518"/>
      <c r="G65" s="518"/>
      <c r="H65" s="518"/>
      <c r="I65" s="519"/>
      <c r="J65" s="523"/>
      <c r="K65" s="108"/>
      <c r="L65" s="879"/>
      <c r="N65" s="588">
        <v>1</v>
      </c>
      <c r="O65" s="42"/>
      <c r="P65" s="14" t="str">
        <f t="shared" si="0"/>
        <v>Applicable to this RFA</v>
      </c>
    </row>
    <row r="66" spans="2:16">
      <c r="B66" s="517"/>
      <c r="C66" s="518"/>
      <c r="D66" s="518"/>
      <c r="E66" s="518"/>
      <c r="F66" s="518"/>
      <c r="G66" s="518"/>
      <c r="H66" s="518"/>
      <c r="I66" s="519"/>
      <c r="J66" s="523"/>
      <c r="K66" s="108"/>
      <c r="L66" s="879"/>
      <c r="N66" s="588">
        <v>1</v>
      </c>
      <c r="O66" s="42"/>
      <c r="P66" s="14" t="str">
        <f t="shared" si="0"/>
        <v>Applicable to this RFA</v>
      </c>
    </row>
    <row r="67" spans="2:16">
      <c r="B67" s="517"/>
      <c r="C67" s="518"/>
      <c r="D67" s="518"/>
      <c r="E67" s="518"/>
      <c r="F67" s="518"/>
      <c r="G67" s="518"/>
      <c r="H67" s="518"/>
      <c r="I67" s="519"/>
      <c r="J67" s="523"/>
      <c r="K67" s="108"/>
      <c r="L67" s="879"/>
      <c r="N67" s="588">
        <v>1</v>
      </c>
      <c r="O67" s="42"/>
      <c r="P67" s="14" t="str">
        <f t="shared" si="0"/>
        <v>Applicable to this RFA</v>
      </c>
    </row>
    <row r="68" spans="2:16">
      <c r="B68" s="517"/>
      <c r="C68" s="518"/>
      <c r="D68" s="518"/>
      <c r="E68" s="518"/>
      <c r="F68" s="518"/>
      <c r="G68" s="518"/>
      <c r="H68" s="518"/>
      <c r="I68" s="519"/>
      <c r="J68" s="523"/>
      <c r="K68" s="108"/>
      <c r="L68" s="879"/>
      <c r="N68" s="588">
        <v>1</v>
      </c>
      <c r="O68" s="42"/>
      <c r="P68" s="14" t="str">
        <f t="shared" si="0"/>
        <v>Applicable to this RFA</v>
      </c>
    </row>
    <row r="69" spans="2:16">
      <c r="B69" s="517"/>
      <c r="C69" s="518"/>
      <c r="D69" s="518"/>
      <c r="E69" s="518"/>
      <c r="F69" s="518"/>
      <c r="G69" s="518"/>
      <c r="H69" s="518"/>
      <c r="I69" s="519"/>
      <c r="J69" s="523"/>
      <c r="K69" s="108"/>
      <c r="L69" s="879"/>
      <c r="N69" s="588">
        <v>1</v>
      </c>
      <c r="O69" s="42"/>
      <c r="P69" s="14" t="str">
        <f t="shared" si="0"/>
        <v>Applicable to this RFA</v>
      </c>
    </row>
    <row r="70" spans="2:16">
      <c r="B70" s="517"/>
      <c r="C70" s="518"/>
      <c r="D70" s="518"/>
      <c r="E70" s="518"/>
      <c r="F70" s="518"/>
      <c r="G70" s="518"/>
      <c r="H70" s="518"/>
      <c r="I70" s="519"/>
      <c r="J70" s="523"/>
      <c r="K70" s="108"/>
      <c r="L70" s="879"/>
      <c r="N70" s="588">
        <v>1</v>
      </c>
      <c r="O70" s="42"/>
      <c r="P70" s="14" t="str">
        <f t="shared" si="0"/>
        <v>Applicable to this RFA</v>
      </c>
    </row>
    <row r="71" spans="2:16">
      <c r="B71" s="517"/>
      <c r="C71" s="518"/>
      <c r="D71" s="518"/>
      <c r="E71" s="518"/>
      <c r="F71" s="518"/>
      <c r="G71" s="518"/>
      <c r="H71" s="518"/>
      <c r="I71" s="519"/>
      <c r="J71" s="523"/>
      <c r="K71" s="108"/>
      <c r="L71" s="879"/>
      <c r="N71" s="588">
        <v>1</v>
      </c>
      <c r="O71" s="42"/>
      <c r="P71" s="14" t="str">
        <f t="shared" ref="P71:P77" si="3">IF(N71="","",IF(N71=0,"Not ","")&amp;"Applicable to this RFA")</f>
        <v>Applicable to this RFA</v>
      </c>
    </row>
    <row r="72" spans="2:16">
      <c r="B72" s="517"/>
      <c r="C72" s="518"/>
      <c r="D72" s="518"/>
      <c r="E72" s="518"/>
      <c r="F72" s="518"/>
      <c r="G72" s="518"/>
      <c r="H72" s="518"/>
      <c r="I72" s="519"/>
      <c r="J72" s="523"/>
      <c r="K72" s="108"/>
      <c r="L72" s="879"/>
      <c r="N72" s="588">
        <v>1</v>
      </c>
      <c r="O72" s="42"/>
      <c r="P72" s="14" t="str">
        <f t="shared" si="3"/>
        <v>Applicable to this RFA</v>
      </c>
    </row>
    <row r="73" spans="2:16">
      <c r="B73" s="517"/>
      <c r="C73" s="518"/>
      <c r="D73" s="518"/>
      <c r="E73" s="518"/>
      <c r="F73" s="518"/>
      <c r="G73" s="518"/>
      <c r="H73" s="518"/>
      <c r="I73" s="519"/>
      <c r="J73" s="523"/>
      <c r="K73" s="108"/>
      <c r="L73" s="879"/>
      <c r="N73" s="588">
        <v>1</v>
      </c>
      <c r="O73" s="42"/>
      <c r="P73" s="14" t="str">
        <f t="shared" si="3"/>
        <v>Applicable to this RFA</v>
      </c>
    </row>
    <row r="74" spans="2:16">
      <c r="B74" s="517"/>
      <c r="C74" s="518"/>
      <c r="D74" s="518"/>
      <c r="E74" s="518"/>
      <c r="F74" s="518"/>
      <c r="G74" s="518"/>
      <c r="H74" s="518"/>
      <c r="I74" s="519"/>
      <c r="J74" s="523"/>
      <c r="K74" s="108"/>
      <c r="L74" s="879"/>
      <c r="N74" s="588">
        <v>1</v>
      </c>
      <c r="O74" s="42"/>
      <c r="P74" s="14" t="str">
        <f t="shared" si="3"/>
        <v>Applicable to this RFA</v>
      </c>
    </row>
    <row r="75" spans="2:16">
      <c r="B75" s="517"/>
      <c r="C75" s="518"/>
      <c r="D75" s="518"/>
      <c r="E75" s="518"/>
      <c r="F75" s="518"/>
      <c r="G75" s="518"/>
      <c r="H75" s="518"/>
      <c r="I75" s="519"/>
      <c r="J75" s="523"/>
      <c r="K75" s="108"/>
      <c r="L75" s="879"/>
      <c r="N75" s="588">
        <v>1</v>
      </c>
      <c r="O75" s="42"/>
      <c r="P75" s="14" t="str">
        <f t="shared" si="3"/>
        <v>Applicable to this RFA</v>
      </c>
    </row>
    <row r="76" spans="2:16">
      <c r="B76" s="517"/>
      <c r="C76" s="518"/>
      <c r="D76" s="518"/>
      <c r="E76" s="518"/>
      <c r="F76" s="518"/>
      <c r="G76" s="518"/>
      <c r="H76" s="518"/>
      <c r="I76" s="519"/>
      <c r="J76" s="523"/>
      <c r="K76" s="108"/>
      <c r="L76" s="879"/>
      <c r="N76" s="588">
        <v>1</v>
      </c>
      <c r="O76" s="42"/>
      <c r="P76" s="14" t="str">
        <f t="shared" si="3"/>
        <v>Applicable to this RFA</v>
      </c>
    </row>
    <row r="77" spans="2:16">
      <c r="B77" s="517"/>
      <c r="C77" s="518"/>
      <c r="D77" s="518"/>
      <c r="E77" s="518"/>
      <c r="F77" s="518"/>
      <c r="G77" s="518"/>
      <c r="H77" s="518"/>
      <c r="I77" s="519"/>
      <c r="J77" s="523"/>
      <c r="K77" s="108"/>
      <c r="L77" s="879"/>
      <c r="N77" s="588">
        <v>1</v>
      </c>
      <c r="O77" s="42"/>
      <c r="P77" s="14" t="str">
        <f t="shared" si="3"/>
        <v>Applicable to this RFA</v>
      </c>
    </row>
    <row r="78" spans="2:16" ht="5.0999999999999996" customHeight="1">
      <c r="B78" s="520"/>
      <c r="C78" s="521"/>
      <c r="D78" s="521"/>
      <c r="E78" s="521"/>
      <c r="F78" s="521"/>
      <c r="G78" s="521"/>
      <c r="H78" s="521"/>
      <c r="I78" s="522"/>
      <c r="J78" s="524"/>
      <c r="K78" s="108"/>
      <c r="L78" s="882"/>
    </row>
  </sheetData>
  <sheetProtection algorithmName="SHA-512" hashValue="xmJXv+g6obOW3385Iok2+GaIQbN9mpoGv71KjLDUZNc1uTOicEygBdDJnMa4UZfgvsCm2tn5GreVJ3iVwc+3Qg==" saltValue="mHzRpiXMow9nfFCp7UNsRA==" spinCount="100000" sheet="1" objects="1" scenarios="1" selectLockedCells="1"/>
  <mergeCells count="109">
    <mergeCell ref="S56:AN56"/>
    <mergeCell ref="S57:AN57"/>
    <mergeCell ref="S58:AN58"/>
    <mergeCell ref="S59:AN59"/>
    <mergeCell ref="S45:AN45"/>
    <mergeCell ref="S46:AN46"/>
    <mergeCell ref="S47:AN47"/>
    <mergeCell ref="S48:AN48"/>
    <mergeCell ref="S49:AN49"/>
    <mergeCell ref="S50:AN50"/>
    <mergeCell ref="S51:AN51"/>
    <mergeCell ref="S52:AN52"/>
    <mergeCell ref="S53:AN53"/>
    <mergeCell ref="S54:AN54"/>
    <mergeCell ref="S55:AN55"/>
    <mergeCell ref="S6:AN6"/>
    <mergeCell ref="S5:AN5"/>
    <mergeCell ref="S4:AN4"/>
    <mergeCell ref="S34:AN34"/>
    <mergeCell ref="S39:AN39"/>
    <mergeCell ref="S11:AN11"/>
    <mergeCell ref="S10:AN10"/>
    <mergeCell ref="S9:AN9"/>
    <mergeCell ref="S8:AN8"/>
    <mergeCell ref="S7:AN7"/>
    <mergeCell ref="S22:AN22"/>
    <mergeCell ref="S21:AN21"/>
    <mergeCell ref="S19:AN19"/>
    <mergeCell ref="S18:AN18"/>
    <mergeCell ref="S17:AN17"/>
    <mergeCell ref="S27:AN27"/>
    <mergeCell ref="S25:AN25"/>
    <mergeCell ref="S26:AN26"/>
    <mergeCell ref="S24:AN24"/>
    <mergeCell ref="S23:AN23"/>
    <mergeCell ref="S37:AN37"/>
    <mergeCell ref="S44:AN44"/>
    <mergeCell ref="S31:AN31"/>
    <mergeCell ref="S32:AN32"/>
    <mergeCell ref="S33:AN33"/>
    <mergeCell ref="S40:AN40"/>
    <mergeCell ref="S41:AN41"/>
    <mergeCell ref="S42:AN42"/>
    <mergeCell ref="S43:AN43"/>
    <mergeCell ref="S12:AN12"/>
    <mergeCell ref="S16:AN16"/>
    <mergeCell ref="S20:AN20"/>
    <mergeCell ref="S15:AN15"/>
    <mergeCell ref="S14:AN14"/>
    <mergeCell ref="S13:AN13"/>
    <mergeCell ref="B9:I9"/>
    <mergeCell ref="B12:I12"/>
    <mergeCell ref="B10:I10"/>
    <mergeCell ref="B11:I11"/>
    <mergeCell ref="B5:I5"/>
    <mergeCell ref="B6:I6"/>
    <mergeCell ref="B7:I7"/>
    <mergeCell ref="B8:I8"/>
    <mergeCell ref="L1:L3"/>
    <mergeCell ref="B4:I4"/>
    <mergeCell ref="A1:K1"/>
    <mergeCell ref="B3:I3"/>
    <mergeCell ref="B37:I37"/>
    <mergeCell ref="B22:I22"/>
    <mergeCell ref="B23:I23"/>
    <mergeCell ref="B14:I14"/>
    <mergeCell ref="B15:I15"/>
    <mergeCell ref="B16:I16"/>
    <mergeCell ref="B17:I17"/>
    <mergeCell ref="B18:I18"/>
    <mergeCell ref="B19:I19"/>
    <mergeCell ref="B20:I20"/>
    <mergeCell ref="B21:I21"/>
    <mergeCell ref="B35:I35"/>
    <mergeCell ref="B36:I36"/>
    <mergeCell ref="B25:I25"/>
    <mergeCell ref="B26:I26"/>
    <mergeCell ref="B27:I27"/>
    <mergeCell ref="B28:I28"/>
    <mergeCell ref="B29:I29"/>
    <mergeCell ref="B30:I30"/>
    <mergeCell ref="B31:I31"/>
    <mergeCell ref="B32:I32"/>
    <mergeCell ref="B33:I33"/>
    <mergeCell ref="B24:I24"/>
    <mergeCell ref="B13:I13"/>
    <mergeCell ref="B57:I57"/>
    <mergeCell ref="B58:I58"/>
    <mergeCell ref="B59:I59"/>
    <mergeCell ref="B51:I51"/>
    <mergeCell ref="B52:I52"/>
    <mergeCell ref="B53:I53"/>
    <mergeCell ref="B54:I54"/>
    <mergeCell ref="B55:I55"/>
    <mergeCell ref="B56:I56"/>
    <mergeCell ref="B50:I50"/>
    <mergeCell ref="B39:I39"/>
    <mergeCell ref="B40:I40"/>
    <mergeCell ref="B41:I41"/>
    <mergeCell ref="B42:I42"/>
    <mergeCell ref="B43:I43"/>
    <mergeCell ref="B44:I44"/>
    <mergeCell ref="B45:I45"/>
    <mergeCell ref="B46:I46"/>
    <mergeCell ref="B47:I47"/>
    <mergeCell ref="B48:I48"/>
    <mergeCell ref="B49:I49"/>
    <mergeCell ref="B38:I38"/>
    <mergeCell ref="B34:I34"/>
  </mergeCells>
  <conditionalFormatting sqref="B6:J8 B4:I5 B12:J12 B11:I11 B13:I13 B10:J10 B9:I9 B40:I43 B44:J48 B55:J55 B49:I54 B59:J77 B56:I58 B37:J39 B14:J34 B35:B36 J35:J36">
    <cfRule type="expression" dxfId="770" priority="104">
      <formula>$N4=0</formula>
    </cfRule>
  </conditionalFormatting>
  <conditionalFormatting sqref="J6:J8 J12 J10 J44:J48 J55 J59:J78 J14:J39">
    <cfRule type="cellIs" dxfId="769" priority="105" stopIfTrue="1" operator="equal">
      <formula>"No"</formula>
    </cfRule>
    <cfRule type="cellIs" dxfId="768" priority="106" operator="equal">
      <formula>"Yes"</formula>
    </cfRule>
    <cfRule type="cellIs" dxfId="767" priority="107" operator="equal">
      <formula>"Matches"</formula>
    </cfRule>
  </conditionalFormatting>
  <conditionalFormatting sqref="J4">
    <cfRule type="expression" dxfId="766" priority="80">
      <formula>$N4=0</formula>
    </cfRule>
  </conditionalFormatting>
  <conditionalFormatting sqref="J4">
    <cfRule type="cellIs" dxfId="765" priority="81" stopIfTrue="1" operator="equal">
      <formula>"No"</formula>
    </cfRule>
    <cfRule type="cellIs" dxfId="764" priority="82" operator="equal">
      <formula>"Yes"</formula>
    </cfRule>
    <cfRule type="cellIs" dxfId="763" priority="83" operator="equal">
      <formula>"Matches"</formula>
    </cfRule>
  </conditionalFormatting>
  <conditionalFormatting sqref="J5">
    <cfRule type="expression" dxfId="762" priority="66">
      <formula>$N5=0</formula>
    </cfRule>
  </conditionalFormatting>
  <conditionalFormatting sqref="J5">
    <cfRule type="cellIs" dxfId="761" priority="67" stopIfTrue="1" operator="equal">
      <formula>"No"</formula>
    </cfRule>
    <cfRule type="cellIs" dxfId="760" priority="68" operator="equal">
      <formula>"Yes"</formula>
    </cfRule>
    <cfRule type="cellIs" dxfId="759" priority="69" operator="equal">
      <formula>"Matches"</formula>
    </cfRule>
  </conditionalFormatting>
  <conditionalFormatting sqref="J9">
    <cfRule type="expression" dxfId="758" priority="62">
      <formula>$N9=0</formula>
    </cfRule>
  </conditionalFormatting>
  <conditionalFormatting sqref="J9">
    <cfRule type="cellIs" dxfId="757" priority="63" stopIfTrue="1" operator="equal">
      <formula>"No"</formula>
    </cfRule>
    <cfRule type="cellIs" dxfId="756" priority="64" operator="equal">
      <formula>"Yes"</formula>
    </cfRule>
    <cfRule type="cellIs" dxfId="755" priority="65" operator="equal">
      <formula>"Matches"</formula>
    </cfRule>
  </conditionalFormatting>
  <conditionalFormatting sqref="J11">
    <cfRule type="expression" dxfId="754" priority="58">
      <formula>$N11=0</formula>
    </cfRule>
  </conditionalFormatting>
  <conditionalFormatting sqref="J11">
    <cfRule type="cellIs" dxfId="753" priority="59" stopIfTrue="1" operator="equal">
      <formula>"No"</formula>
    </cfRule>
    <cfRule type="cellIs" dxfId="752" priority="60" operator="equal">
      <formula>"Yes"</formula>
    </cfRule>
    <cfRule type="cellIs" dxfId="751" priority="61" operator="equal">
      <formula>"Matches"</formula>
    </cfRule>
  </conditionalFormatting>
  <conditionalFormatting sqref="J13">
    <cfRule type="expression" dxfId="750" priority="54">
      <formula>$N13=0</formula>
    </cfRule>
  </conditionalFormatting>
  <conditionalFormatting sqref="J13">
    <cfRule type="cellIs" dxfId="749" priority="55" stopIfTrue="1" operator="equal">
      <formula>"No"</formula>
    </cfRule>
    <cfRule type="cellIs" dxfId="748" priority="56" operator="equal">
      <formula>"Yes"</formula>
    </cfRule>
    <cfRule type="cellIs" dxfId="747" priority="57" operator="equal">
      <formula>"Matches"</formula>
    </cfRule>
  </conditionalFormatting>
  <conditionalFormatting sqref="J40">
    <cfRule type="expression" dxfId="746" priority="50">
      <formula>$N40=0</formula>
    </cfRule>
  </conditionalFormatting>
  <conditionalFormatting sqref="J40">
    <cfRule type="cellIs" dxfId="745" priority="51" stopIfTrue="1" operator="equal">
      <formula>"No"</formula>
    </cfRule>
    <cfRule type="cellIs" dxfId="744" priority="52" operator="equal">
      <formula>"Yes"</formula>
    </cfRule>
    <cfRule type="cellIs" dxfId="743" priority="53" operator="equal">
      <formula>"Matches"</formula>
    </cfRule>
  </conditionalFormatting>
  <conditionalFormatting sqref="J41">
    <cfRule type="expression" dxfId="742" priority="46">
      <formula>$N41=0</formula>
    </cfRule>
  </conditionalFormatting>
  <conditionalFormatting sqref="J41">
    <cfRule type="cellIs" dxfId="741" priority="47" stopIfTrue="1" operator="equal">
      <formula>"No"</formula>
    </cfRule>
    <cfRule type="cellIs" dxfId="740" priority="48" operator="equal">
      <formula>"Yes"</formula>
    </cfRule>
    <cfRule type="cellIs" dxfId="739" priority="49" operator="equal">
      <formula>"Matches"</formula>
    </cfRule>
  </conditionalFormatting>
  <conditionalFormatting sqref="J42">
    <cfRule type="expression" dxfId="738" priority="42">
      <formula>$N42=0</formula>
    </cfRule>
  </conditionalFormatting>
  <conditionalFormatting sqref="J42">
    <cfRule type="cellIs" dxfId="737" priority="43" stopIfTrue="1" operator="equal">
      <formula>"No"</formula>
    </cfRule>
    <cfRule type="cellIs" dxfId="736" priority="44" operator="equal">
      <formula>"Yes"</formula>
    </cfRule>
    <cfRule type="cellIs" dxfId="735" priority="45" operator="equal">
      <formula>"Matches"</formula>
    </cfRule>
  </conditionalFormatting>
  <conditionalFormatting sqref="J43">
    <cfRule type="expression" dxfId="734" priority="38">
      <formula>$N43=0</formula>
    </cfRule>
  </conditionalFormatting>
  <conditionalFormatting sqref="J43">
    <cfRule type="cellIs" dxfId="733" priority="39" stopIfTrue="1" operator="equal">
      <formula>"No"</formula>
    </cfRule>
    <cfRule type="cellIs" dxfId="732" priority="40" operator="equal">
      <formula>"Yes"</formula>
    </cfRule>
    <cfRule type="cellIs" dxfId="731" priority="41" operator="equal">
      <formula>"Matches"</formula>
    </cfRule>
  </conditionalFormatting>
  <conditionalFormatting sqref="J49">
    <cfRule type="expression" dxfId="730" priority="34">
      <formula>$N49=0</formula>
    </cfRule>
  </conditionalFormatting>
  <conditionalFormatting sqref="J49">
    <cfRule type="cellIs" dxfId="729" priority="35" stopIfTrue="1" operator="equal">
      <formula>"No"</formula>
    </cfRule>
    <cfRule type="cellIs" dxfId="728" priority="36" operator="equal">
      <formula>"Yes"</formula>
    </cfRule>
    <cfRule type="cellIs" dxfId="727" priority="37" operator="equal">
      <formula>"Matches"</formula>
    </cfRule>
  </conditionalFormatting>
  <conditionalFormatting sqref="J50">
    <cfRule type="expression" dxfId="726" priority="30">
      <formula>$N50=0</formula>
    </cfRule>
  </conditionalFormatting>
  <conditionalFormatting sqref="J50">
    <cfRule type="cellIs" dxfId="725" priority="31" stopIfTrue="1" operator="equal">
      <formula>"No"</formula>
    </cfRule>
    <cfRule type="cellIs" dxfId="724" priority="32" operator="equal">
      <formula>"Yes"</formula>
    </cfRule>
    <cfRule type="cellIs" dxfId="723" priority="33" operator="equal">
      <formula>"Matches"</formula>
    </cfRule>
  </conditionalFormatting>
  <conditionalFormatting sqref="J51">
    <cfRule type="expression" dxfId="722" priority="26">
      <formula>$N51=0</formula>
    </cfRule>
  </conditionalFormatting>
  <conditionalFormatting sqref="J51">
    <cfRule type="cellIs" dxfId="721" priority="27" stopIfTrue="1" operator="equal">
      <formula>"No"</formula>
    </cfRule>
    <cfRule type="cellIs" dxfId="720" priority="28" operator="equal">
      <formula>"Yes"</formula>
    </cfRule>
    <cfRule type="cellIs" dxfId="719" priority="29" operator="equal">
      <formula>"Matches"</formula>
    </cfRule>
  </conditionalFormatting>
  <conditionalFormatting sqref="J52">
    <cfRule type="expression" dxfId="718" priority="22">
      <formula>$N52=0</formula>
    </cfRule>
  </conditionalFormatting>
  <conditionalFormatting sqref="J52">
    <cfRule type="cellIs" dxfId="717" priority="23" stopIfTrue="1" operator="equal">
      <formula>"No"</formula>
    </cfRule>
    <cfRule type="cellIs" dxfId="716" priority="24" operator="equal">
      <formula>"Yes"</formula>
    </cfRule>
    <cfRule type="cellIs" dxfId="715" priority="25" operator="equal">
      <formula>"Matches"</formula>
    </cfRule>
  </conditionalFormatting>
  <conditionalFormatting sqref="J53">
    <cfRule type="expression" dxfId="714" priority="18">
      <formula>$N53=0</formula>
    </cfRule>
  </conditionalFormatting>
  <conditionalFormatting sqref="J53">
    <cfRule type="cellIs" dxfId="713" priority="19" stopIfTrue="1" operator="equal">
      <formula>"No"</formula>
    </cfRule>
    <cfRule type="cellIs" dxfId="712" priority="20" operator="equal">
      <formula>"Yes"</formula>
    </cfRule>
    <cfRule type="cellIs" dxfId="711" priority="21" operator="equal">
      <formula>"Matches"</formula>
    </cfRule>
  </conditionalFormatting>
  <conditionalFormatting sqref="J54">
    <cfRule type="expression" dxfId="710" priority="14">
      <formula>$N54=0</formula>
    </cfRule>
  </conditionalFormatting>
  <conditionalFormatting sqref="J54">
    <cfRule type="cellIs" dxfId="709" priority="15" stopIfTrue="1" operator="equal">
      <formula>"No"</formula>
    </cfRule>
    <cfRule type="cellIs" dxfId="708" priority="16" operator="equal">
      <formula>"Yes"</formula>
    </cfRule>
    <cfRule type="cellIs" dxfId="707" priority="17" operator="equal">
      <formula>"Matches"</formula>
    </cfRule>
  </conditionalFormatting>
  <conditionalFormatting sqref="J56">
    <cfRule type="expression" dxfId="706" priority="10">
      <formula>$N56=0</formula>
    </cfRule>
  </conditionalFormatting>
  <conditionalFormatting sqref="J56">
    <cfRule type="cellIs" dxfId="705" priority="11" stopIfTrue="1" operator="equal">
      <formula>"No"</formula>
    </cfRule>
    <cfRule type="cellIs" dxfId="704" priority="12" operator="equal">
      <formula>"Yes"</formula>
    </cfRule>
    <cfRule type="cellIs" dxfId="703" priority="13" operator="equal">
      <formula>"Matches"</formula>
    </cfRule>
  </conditionalFormatting>
  <conditionalFormatting sqref="J57">
    <cfRule type="expression" dxfId="702" priority="6">
      <formula>$N57=0</formula>
    </cfRule>
  </conditionalFormatting>
  <conditionalFormatting sqref="J57">
    <cfRule type="cellIs" dxfId="701" priority="7" stopIfTrue="1" operator="equal">
      <formula>"No"</formula>
    </cfRule>
    <cfRule type="cellIs" dxfId="700" priority="8" operator="equal">
      <formula>"Yes"</formula>
    </cfRule>
    <cfRule type="cellIs" dxfId="699" priority="9" operator="equal">
      <formula>"Matches"</formula>
    </cfRule>
  </conditionalFormatting>
  <conditionalFormatting sqref="J58">
    <cfRule type="expression" dxfId="698" priority="2">
      <formula>$N58=0</formula>
    </cfRule>
  </conditionalFormatting>
  <conditionalFormatting sqref="J58">
    <cfRule type="cellIs" dxfId="697" priority="3" stopIfTrue="1" operator="equal">
      <formula>"No"</formula>
    </cfRule>
    <cfRule type="cellIs" dxfId="696" priority="4" operator="equal">
      <formula>"Yes"</formula>
    </cfRule>
    <cfRule type="cellIs" dxfId="695" priority="5" operator="equal">
      <formula>"Matches"</formula>
    </cfRule>
  </conditionalFormatting>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042" id="{8A765EBF-0C27-4F4D-8519-4231C496D93D}">
            <xm:f>Data1!$E$514="Yes"</xm:f>
            <x14:dxf>
              <font>
                <color theme="0"/>
              </font>
              <fill>
                <patternFill>
                  <bgColor theme="0"/>
                </patternFill>
              </fill>
              <border>
                <left/>
                <right/>
                <top/>
                <bottom/>
                <vertical/>
                <horizontal/>
              </border>
            </x14:dxf>
          </x14:cfRule>
          <xm:sqref>N39:P77 N4:P37 N38 P38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29E9A-BABC-4F6F-8388-A85D7EAD15D5}">
  <sheetPr codeName="Sheet18">
    <tabColor rgb="FF00B0F0"/>
  </sheetPr>
  <dimension ref="A2:C52"/>
  <sheetViews>
    <sheetView workbookViewId="0"/>
  </sheetViews>
  <sheetFormatPr defaultRowHeight="14.4"/>
  <cols>
    <col min="1" max="1" width="17.88671875" customWidth="1"/>
  </cols>
  <sheetData>
    <row r="2" spans="1:3" ht="30.75" customHeight="1">
      <c r="A2" s="1054" t="s">
        <v>1577</v>
      </c>
    </row>
    <row r="3" spans="1:3">
      <c r="A3" s="1054"/>
      <c r="B3" s="871" t="s">
        <v>1623</v>
      </c>
    </row>
    <row r="4" spans="1:3">
      <c r="B4" s="1131" t="s">
        <v>1605</v>
      </c>
    </row>
    <row r="5" spans="1:3">
      <c r="B5" s="1131"/>
      <c r="C5" s="1131" t="s">
        <v>1604</v>
      </c>
    </row>
    <row r="6" spans="1:3">
      <c r="B6" s="1131" t="s">
        <v>1606</v>
      </c>
    </row>
    <row r="7" spans="1:3">
      <c r="B7" s="1131" t="s">
        <v>1610</v>
      </c>
    </row>
    <row r="8" spans="1:3">
      <c r="B8" s="1131"/>
      <c r="C8" s="1131" t="s">
        <v>1621</v>
      </c>
    </row>
    <row r="9" spans="1:3">
      <c r="C9" s="1151" t="s">
        <v>1609</v>
      </c>
    </row>
    <row r="10" spans="1:3">
      <c r="B10" s="1149"/>
      <c r="C10" t="s">
        <v>1611</v>
      </c>
    </row>
    <row r="11" spans="1:3">
      <c r="B11" s="1149"/>
      <c r="C11" s="1131" t="s">
        <v>1612</v>
      </c>
    </row>
    <row r="12" spans="1:3">
      <c r="B12" s="1150"/>
      <c r="C12" s="1131" t="s">
        <v>1607</v>
      </c>
    </row>
    <row r="13" spans="1:3">
      <c r="B13" s="1150"/>
      <c r="C13" s="1131" t="s">
        <v>1608</v>
      </c>
    </row>
    <row r="14" spans="1:3">
      <c r="B14" t="s">
        <v>1613</v>
      </c>
    </row>
    <row r="15" spans="1:3">
      <c r="B15" t="s">
        <v>1614</v>
      </c>
    </row>
    <row r="16" spans="1:3">
      <c r="C16" s="1131" t="s">
        <v>1615</v>
      </c>
    </row>
    <row r="17" spans="2:3">
      <c r="B17" s="1131" t="s">
        <v>1616</v>
      </c>
    </row>
    <row r="18" spans="2:3">
      <c r="B18" s="1131" t="s">
        <v>1617</v>
      </c>
    </row>
    <row r="19" spans="2:3">
      <c r="B19" s="1131" t="s">
        <v>1618</v>
      </c>
    </row>
    <row r="20" spans="2:3">
      <c r="B20" s="1131" t="s">
        <v>1619</v>
      </c>
    </row>
    <row r="21" spans="2:3">
      <c r="C21" t="s">
        <v>1620</v>
      </c>
    </row>
    <row r="22" spans="2:3">
      <c r="B22" s="1131" t="s">
        <v>1622</v>
      </c>
    </row>
    <row r="23" spans="2:3">
      <c r="B23" s="871" t="s">
        <v>1659</v>
      </c>
    </row>
    <row r="24" spans="2:3">
      <c r="B24" s="454" t="s">
        <v>1600</v>
      </c>
    </row>
    <row r="25" spans="2:3">
      <c r="B25" s="454" t="s">
        <v>1578</v>
      </c>
    </row>
    <row r="26" spans="2:3">
      <c r="B26" s="454" t="s">
        <v>1601</v>
      </c>
    </row>
    <row r="27" spans="2:3">
      <c r="B27" t="s">
        <v>1602</v>
      </c>
    </row>
    <row r="28" spans="2:3">
      <c r="B28" t="s">
        <v>1603</v>
      </c>
    </row>
    <row r="29" spans="2:3">
      <c r="B29" t="s">
        <v>1629</v>
      </c>
    </row>
    <row r="30" spans="2:3">
      <c r="B30" t="s">
        <v>1628</v>
      </c>
    </row>
    <row r="31" spans="2:3">
      <c r="B31" t="s">
        <v>1625</v>
      </c>
    </row>
    <row r="32" spans="2:3">
      <c r="B32" t="s">
        <v>1624</v>
      </c>
    </row>
    <row r="33" spans="2:2">
      <c r="B33" t="s">
        <v>1626</v>
      </c>
    </row>
    <row r="34" spans="2:2">
      <c r="B34" t="s">
        <v>1627</v>
      </c>
    </row>
    <row r="35" spans="2:2">
      <c r="B35" t="s">
        <v>1631</v>
      </c>
    </row>
    <row r="36" spans="2:2">
      <c r="B36" t="s">
        <v>1658</v>
      </c>
    </row>
    <row r="37" spans="2:2">
      <c r="B37" t="s">
        <v>1669</v>
      </c>
    </row>
    <row r="38" spans="2:2">
      <c r="B38" s="871" t="s">
        <v>1670</v>
      </c>
    </row>
    <row r="39" spans="2:2">
      <c r="B39" t="s">
        <v>1671</v>
      </c>
    </row>
    <row r="40" spans="2:2">
      <c r="B40" t="s">
        <v>1672</v>
      </c>
    </row>
    <row r="41" spans="2:2">
      <c r="B41" t="s">
        <v>1673</v>
      </c>
    </row>
    <row r="42" spans="2:2">
      <c r="B42" t="s">
        <v>1674</v>
      </c>
    </row>
    <row r="43" spans="2:2">
      <c r="B43" t="s">
        <v>1675</v>
      </c>
    </row>
    <row r="44" spans="2:2">
      <c r="B44" t="s">
        <v>1676</v>
      </c>
    </row>
    <row r="45" spans="2:2">
      <c r="B45" s="871" t="s">
        <v>1677</v>
      </c>
    </row>
    <row r="46" spans="2:2">
      <c r="B46" t="s">
        <v>1679</v>
      </c>
    </row>
    <row r="47" spans="2:2">
      <c r="B47" t="s">
        <v>1678</v>
      </c>
    </row>
    <row r="48" spans="2:2">
      <c r="B48" t="s">
        <v>1680</v>
      </c>
    </row>
    <row r="49" spans="2:2">
      <c r="B49" t="s">
        <v>1681</v>
      </c>
    </row>
    <row r="50" spans="2:2">
      <c r="B50" t="s">
        <v>1682</v>
      </c>
    </row>
    <row r="51" spans="2:2">
      <c r="B51" t="s">
        <v>1683</v>
      </c>
    </row>
    <row r="52" spans="2:2">
      <c r="B52" t="s">
        <v>1684</v>
      </c>
    </row>
  </sheetData>
  <sheetProtection algorithmName="SHA-512" hashValue="p89UakhZPfS2quJfY9AexoBRZzyDQtzhAr6mWEqyy5f5Ar7JSSu36PG9hL7Yn+oW/VzauA5WfVzr85ariltH+Q==" saltValue="UwKPWnMLqMZcSXOqo6spMw==" spinCount="100000" sheet="1" objects="1" scenarios="1" selectLockedCells="1"/>
  <pageMargins left="0.7" right="0.7" top="0.75" bottom="0.75" header="0.3" footer="0.3"/>
  <pageSetup scale="8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2F4B5-F986-4BE1-B28F-D7356F315031}">
  <sheetPr codeName="Sheet13">
    <tabColor rgb="FF00B0F0"/>
  </sheetPr>
  <dimension ref="A2:O677"/>
  <sheetViews>
    <sheetView workbookViewId="0">
      <pane xSplit="1" ySplit="3" topLeftCell="B28" activePane="bottomRight" state="frozen"/>
      <selection pane="topRight" activeCell="B1" sqref="B1"/>
      <selection pane="bottomLeft" activeCell="A4" sqref="A4"/>
      <selection pane="bottomRight" activeCell="O56" sqref="O56"/>
    </sheetView>
  </sheetViews>
  <sheetFormatPr defaultRowHeight="14.4"/>
  <cols>
    <col min="1" max="4" width="3.5546875" customWidth="1"/>
    <col min="5" max="5" width="59" customWidth="1"/>
    <col min="6" max="6" width="1.88671875" customWidth="1"/>
    <col min="7" max="11" width="9.5546875" customWidth="1"/>
  </cols>
  <sheetData>
    <row r="2" spans="1:11">
      <c r="G2" s="1745" t="s">
        <v>547</v>
      </c>
      <c r="H2" s="1746"/>
      <c r="I2" s="1746"/>
      <c r="J2" s="1746"/>
      <c r="K2" s="1747"/>
    </row>
    <row r="3" spans="1:11">
      <c r="G3" s="170" t="s">
        <v>546</v>
      </c>
      <c r="H3" s="170" t="s">
        <v>545</v>
      </c>
      <c r="I3" s="170" t="s">
        <v>544</v>
      </c>
      <c r="J3" s="170" t="s">
        <v>917</v>
      </c>
      <c r="K3" s="170"/>
    </row>
    <row r="4" spans="1:11" ht="5.0999999999999996" customHeight="1">
      <c r="G4" s="167"/>
      <c r="H4" s="167"/>
      <c r="I4" s="167"/>
      <c r="J4" s="167"/>
      <c r="K4" s="167"/>
    </row>
    <row r="5" spans="1:11" ht="15.6">
      <c r="A5" s="169" t="s">
        <v>543</v>
      </c>
      <c r="G5" s="167"/>
      <c r="H5" s="167"/>
      <c r="I5" s="167"/>
      <c r="J5" s="167"/>
      <c r="K5" s="167"/>
    </row>
    <row r="6" spans="1:11">
      <c r="B6" t="s">
        <v>542</v>
      </c>
      <c r="G6" s="167"/>
      <c r="H6" s="167"/>
      <c r="I6" s="168" t="s">
        <v>500</v>
      </c>
      <c r="J6" s="167"/>
      <c r="K6" s="167"/>
    </row>
    <row r="7" spans="1:11">
      <c r="B7" t="s">
        <v>541</v>
      </c>
      <c r="G7" s="167"/>
      <c r="H7" s="167"/>
      <c r="I7" s="168" t="s">
        <v>500</v>
      </c>
      <c r="J7" s="167"/>
      <c r="K7" s="167"/>
    </row>
    <row r="8" spans="1:11">
      <c r="B8" t="s">
        <v>540</v>
      </c>
      <c r="G8" s="167"/>
      <c r="H8" s="167"/>
      <c r="I8" s="168" t="s">
        <v>500</v>
      </c>
      <c r="J8" s="167"/>
      <c r="K8" s="167"/>
    </row>
    <row r="9" spans="1:11" ht="30" customHeight="1">
      <c r="B9" s="1740" t="s">
        <v>539</v>
      </c>
      <c r="C9" s="1740"/>
      <c r="D9" s="1740"/>
      <c r="E9" s="1740"/>
      <c r="G9" s="167"/>
      <c r="H9" s="167"/>
      <c r="I9" s="168" t="s">
        <v>500</v>
      </c>
      <c r="J9" s="167"/>
      <c r="K9" s="167"/>
    </row>
    <row r="10" spans="1:11">
      <c r="G10" s="167"/>
      <c r="H10" s="167"/>
      <c r="I10" s="167"/>
      <c r="J10" s="167"/>
      <c r="K10" s="167"/>
    </row>
    <row r="11" spans="1:11">
      <c r="B11" t="s">
        <v>538</v>
      </c>
      <c r="G11" s="167"/>
      <c r="H11" s="167"/>
      <c r="I11" s="167"/>
      <c r="J11" s="167"/>
      <c r="K11" s="167"/>
    </row>
    <row r="12" spans="1:11">
      <c r="C12" t="s">
        <v>537</v>
      </c>
      <c r="G12" s="167"/>
      <c r="H12" s="167"/>
      <c r="I12" s="168" t="s">
        <v>500</v>
      </c>
      <c r="J12" s="167"/>
      <c r="K12" s="167"/>
    </row>
    <row r="13" spans="1:11">
      <c r="C13" t="s">
        <v>536</v>
      </c>
      <c r="G13" s="167"/>
      <c r="H13" s="167"/>
      <c r="I13" s="168" t="s">
        <v>500</v>
      </c>
      <c r="J13" s="167"/>
      <c r="K13" s="167"/>
    </row>
    <row r="14" spans="1:11">
      <c r="C14" t="s">
        <v>535</v>
      </c>
      <c r="G14" s="167"/>
      <c r="H14" s="167"/>
      <c r="I14" s="168" t="s">
        <v>500</v>
      </c>
      <c r="J14" s="167"/>
      <c r="K14" s="167"/>
    </row>
    <row r="15" spans="1:11">
      <c r="C15" t="s">
        <v>534</v>
      </c>
      <c r="G15" s="167"/>
      <c r="H15" s="167"/>
      <c r="I15" s="168" t="s">
        <v>500</v>
      </c>
      <c r="J15" s="167"/>
      <c r="K15" s="167"/>
    </row>
    <row r="16" spans="1:11">
      <c r="B16" t="s">
        <v>533</v>
      </c>
      <c r="G16" s="167"/>
      <c r="H16" s="167"/>
      <c r="I16" s="167"/>
      <c r="J16" s="167"/>
      <c r="K16" s="167"/>
    </row>
    <row r="17" spans="2:11">
      <c r="C17" t="s">
        <v>532</v>
      </c>
      <c r="G17" s="167"/>
      <c r="H17" s="167"/>
      <c r="I17" s="168" t="s">
        <v>500</v>
      </c>
      <c r="J17" s="167"/>
      <c r="K17" s="167"/>
    </row>
    <row r="18" spans="2:11">
      <c r="C18" t="s">
        <v>531</v>
      </c>
      <c r="G18" s="167"/>
      <c r="H18" s="167"/>
      <c r="I18" s="168" t="s">
        <v>500</v>
      </c>
      <c r="J18" s="167"/>
      <c r="K18" s="167"/>
    </row>
    <row r="19" spans="2:11">
      <c r="C19" t="s">
        <v>530</v>
      </c>
      <c r="G19" s="167"/>
      <c r="H19" s="167"/>
      <c r="I19" s="168" t="s">
        <v>500</v>
      </c>
      <c r="J19" s="167"/>
      <c r="K19" s="167"/>
    </row>
    <row r="20" spans="2:11">
      <c r="C20" t="s">
        <v>529</v>
      </c>
      <c r="G20" s="167"/>
      <c r="H20" s="167"/>
      <c r="I20" s="168" t="s">
        <v>500</v>
      </c>
      <c r="J20" s="167"/>
      <c r="K20" s="167"/>
    </row>
    <row r="21" spans="2:11">
      <c r="C21" t="s">
        <v>528</v>
      </c>
      <c r="G21" s="167"/>
      <c r="H21" s="167"/>
      <c r="I21" s="168" t="s">
        <v>500</v>
      </c>
      <c r="J21" s="167"/>
      <c r="K21" s="167"/>
    </row>
    <row r="22" spans="2:11">
      <c r="C22" t="s">
        <v>527</v>
      </c>
      <c r="G22" s="167"/>
      <c r="H22" s="167"/>
      <c r="I22" s="168" t="s">
        <v>500</v>
      </c>
      <c r="J22" s="167"/>
      <c r="K22" s="167"/>
    </row>
    <row r="23" spans="2:11">
      <c r="C23" t="s">
        <v>579</v>
      </c>
      <c r="G23" s="167"/>
      <c r="H23" s="167"/>
      <c r="I23" s="168" t="s">
        <v>500</v>
      </c>
      <c r="J23" s="167"/>
      <c r="K23" s="167"/>
    </row>
    <row r="24" spans="2:11">
      <c r="C24" t="s">
        <v>578</v>
      </c>
      <c r="G24" s="167"/>
      <c r="H24" s="167"/>
      <c r="I24" s="168" t="s">
        <v>500</v>
      </c>
      <c r="J24" s="167"/>
      <c r="K24" s="167"/>
    </row>
    <row r="25" spans="2:11">
      <c r="B25" t="s">
        <v>526</v>
      </c>
      <c r="G25" s="167"/>
      <c r="H25" s="167"/>
      <c r="I25" s="168" t="s">
        <v>500</v>
      </c>
      <c r="J25" s="167"/>
      <c r="K25" s="167"/>
    </row>
    <row r="26" spans="2:11">
      <c r="B26" t="s">
        <v>1124</v>
      </c>
      <c r="G26" s="167"/>
      <c r="H26" s="167"/>
      <c r="I26" s="168" t="s">
        <v>500</v>
      </c>
      <c r="J26" s="167"/>
      <c r="K26" s="167"/>
    </row>
    <row r="27" spans="2:11" ht="30" customHeight="1">
      <c r="B27" s="1712" t="s">
        <v>525</v>
      </c>
      <c r="C27" s="1712"/>
      <c r="D27" s="1712"/>
      <c r="E27" s="1712"/>
      <c r="G27" s="167"/>
      <c r="H27" s="167"/>
      <c r="I27" s="168" t="s">
        <v>500</v>
      </c>
      <c r="J27" s="167"/>
      <c r="K27" s="167"/>
    </row>
    <row r="28" spans="2:11" ht="14.4" customHeight="1">
      <c r="B28" s="568" t="s">
        <v>1086</v>
      </c>
      <c r="C28" s="552"/>
      <c r="D28" s="552"/>
      <c r="E28" s="552"/>
      <c r="G28" s="167"/>
      <c r="H28" s="167"/>
      <c r="I28" s="168" t="s">
        <v>500</v>
      </c>
      <c r="J28" s="167"/>
      <c r="K28" s="167"/>
    </row>
    <row r="29" spans="2:11">
      <c r="B29" t="s">
        <v>873</v>
      </c>
      <c r="G29" s="167"/>
      <c r="H29" s="167"/>
      <c r="I29" s="168" t="s">
        <v>500</v>
      </c>
      <c r="J29" s="167"/>
      <c r="K29" s="167"/>
    </row>
    <row r="30" spans="2:11">
      <c r="B30" t="s">
        <v>1123</v>
      </c>
      <c r="G30" s="167"/>
      <c r="H30" s="167"/>
      <c r="I30" s="168" t="s">
        <v>500</v>
      </c>
      <c r="J30" s="167"/>
      <c r="K30" s="167"/>
    </row>
    <row r="31" spans="2:11">
      <c r="B31" t="s">
        <v>1084</v>
      </c>
      <c r="G31" s="167"/>
      <c r="H31" s="167"/>
      <c r="I31" s="168" t="s">
        <v>500</v>
      </c>
      <c r="J31" s="167"/>
      <c r="K31" s="167"/>
    </row>
    <row r="32" spans="2:11">
      <c r="B32" t="s">
        <v>1085</v>
      </c>
      <c r="G32" s="167"/>
      <c r="H32" s="167"/>
      <c r="I32" s="168" t="s">
        <v>500</v>
      </c>
      <c r="J32" s="167"/>
      <c r="K32" s="167"/>
    </row>
    <row r="33" spans="1:11">
      <c r="B33" t="s">
        <v>1083</v>
      </c>
      <c r="G33" s="167"/>
      <c r="H33" s="167"/>
      <c r="I33" s="168" t="s">
        <v>500</v>
      </c>
      <c r="J33" s="167"/>
      <c r="K33" s="167"/>
    </row>
    <row r="34" spans="1:11">
      <c r="B34" t="s">
        <v>1576</v>
      </c>
      <c r="G34" s="167"/>
      <c r="H34" s="168" t="s">
        <v>500</v>
      </c>
      <c r="I34" s="168"/>
      <c r="J34" s="167"/>
      <c r="K34" s="167"/>
    </row>
    <row r="35" spans="1:11">
      <c r="G35" s="167"/>
      <c r="H35" s="167"/>
      <c r="I35" s="167"/>
      <c r="J35" s="167"/>
      <c r="K35" s="167"/>
    </row>
    <row r="36" spans="1:11">
      <c r="G36" s="167"/>
      <c r="H36" s="167"/>
      <c r="I36" s="167"/>
      <c r="J36" s="167"/>
      <c r="K36" s="167"/>
    </row>
    <row r="37" spans="1:11" ht="15.6">
      <c r="A37" s="169" t="s">
        <v>524</v>
      </c>
      <c r="G37" s="167"/>
      <c r="H37" s="167"/>
      <c r="I37" s="167"/>
      <c r="J37" s="167"/>
      <c r="K37" s="167"/>
    </row>
    <row r="38" spans="1:11">
      <c r="B38" s="551" t="s">
        <v>523</v>
      </c>
      <c r="G38" s="167"/>
      <c r="H38" s="168" t="s">
        <v>500</v>
      </c>
      <c r="I38" s="167"/>
      <c r="J38" s="167"/>
      <c r="K38" s="167"/>
    </row>
    <row r="39" spans="1:11">
      <c r="B39" t="s">
        <v>522</v>
      </c>
      <c r="G39" s="167"/>
      <c r="H39" s="167"/>
      <c r="I39" s="167"/>
      <c r="J39" s="167"/>
      <c r="K39" s="167"/>
    </row>
    <row r="40" spans="1:11">
      <c r="C40" s="551" t="s">
        <v>521</v>
      </c>
      <c r="G40" s="167"/>
      <c r="H40" s="168" t="s">
        <v>500</v>
      </c>
      <c r="I40" s="167"/>
      <c r="J40" s="167"/>
      <c r="K40" s="167"/>
    </row>
    <row r="41" spans="1:11">
      <c r="C41" s="551" t="s">
        <v>520</v>
      </c>
      <c r="G41" s="167"/>
      <c r="H41" s="168" t="s">
        <v>500</v>
      </c>
      <c r="I41" s="167"/>
      <c r="J41" s="167"/>
      <c r="K41" s="167"/>
    </row>
    <row r="42" spans="1:11">
      <c r="C42" s="551" t="s">
        <v>519</v>
      </c>
      <c r="G42" s="167"/>
      <c r="H42" s="168" t="s">
        <v>500</v>
      </c>
      <c r="I42" s="167"/>
      <c r="J42" s="167"/>
      <c r="K42" s="167"/>
    </row>
    <row r="43" spans="1:11">
      <c r="C43" s="551" t="s">
        <v>518</v>
      </c>
      <c r="G43" s="167"/>
      <c r="H43" s="168" t="s">
        <v>500</v>
      </c>
      <c r="I43" s="167"/>
      <c r="J43" s="167"/>
      <c r="K43" s="167"/>
    </row>
    <row r="44" spans="1:11">
      <c r="C44" s="551" t="s">
        <v>517</v>
      </c>
      <c r="G44" s="167"/>
      <c r="H44" s="168" t="s">
        <v>500</v>
      </c>
      <c r="I44" s="167"/>
      <c r="J44" s="167"/>
      <c r="K44" s="167"/>
    </row>
    <row r="45" spans="1:11">
      <c r="C45" t="s">
        <v>1102</v>
      </c>
      <c r="G45" s="167"/>
      <c r="H45" s="167"/>
      <c r="I45" s="168" t="s">
        <v>500</v>
      </c>
      <c r="J45" s="167"/>
      <c r="K45" s="167"/>
    </row>
    <row r="46" spans="1:11">
      <c r="C46" t="s">
        <v>1103</v>
      </c>
      <c r="G46" s="167"/>
      <c r="H46" s="167"/>
      <c r="I46" s="168" t="s">
        <v>500</v>
      </c>
      <c r="J46" s="167"/>
      <c r="K46" s="167"/>
    </row>
    <row r="47" spans="1:11">
      <c r="C47" s="593" t="s">
        <v>1105</v>
      </c>
      <c r="G47" s="168" t="s">
        <v>500</v>
      </c>
      <c r="H47" s="167"/>
      <c r="I47" s="168"/>
      <c r="J47" s="167"/>
      <c r="K47" s="167"/>
    </row>
    <row r="48" spans="1:11">
      <c r="C48" s="593" t="s">
        <v>1106</v>
      </c>
      <c r="G48" s="168" t="s">
        <v>500</v>
      </c>
      <c r="H48" s="167"/>
      <c r="I48" s="168"/>
      <c r="J48" s="167"/>
      <c r="K48" s="167"/>
    </row>
    <row r="49" spans="1:11">
      <c r="C49" s="593" t="s">
        <v>1107</v>
      </c>
      <c r="G49" s="168" t="s">
        <v>500</v>
      </c>
      <c r="H49" s="167"/>
      <c r="I49" s="168"/>
      <c r="J49" s="167"/>
      <c r="K49" s="167"/>
    </row>
    <row r="50" spans="1:11">
      <c r="C50" s="593" t="s">
        <v>1108</v>
      </c>
      <c r="G50" s="168" t="s">
        <v>500</v>
      </c>
      <c r="H50" s="167"/>
      <c r="I50" s="168"/>
      <c r="J50" s="167"/>
      <c r="K50" s="167"/>
    </row>
    <row r="51" spans="1:11">
      <c r="B51" t="s">
        <v>1104</v>
      </c>
      <c r="G51" s="167"/>
      <c r="H51" s="167"/>
      <c r="I51" s="168" t="s">
        <v>500</v>
      </c>
      <c r="J51" s="167"/>
      <c r="K51" s="167"/>
    </row>
    <row r="52" spans="1:11">
      <c r="B52" t="s">
        <v>1576</v>
      </c>
      <c r="G52" s="168" t="s">
        <v>500</v>
      </c>
      <c r="H52" s="168" t="s">
        <v>500</v>
      </c>
      <c r="I52" s="168"/>
      <c r="J52" s="167"/>
      <c r="K52" s="167"/>
    </row>
    <row r="53" spans="1:11">
      <c r="G53" s="167"/>
      <c r="H53" s="167"/>
      <c r="I53" s="167"/>
      <c r="J53" s="167"/>
      <c r="K53" s="167"/>
    </row>
    <row r="54" spans="1:11" ht="15.6">
      <c r="A54" s="169" t="s">
        <v>726</v>
      </c>
      <c r="G54" s="167"/>
      <c r="H54" s="167"/>
      <c r="I54" s="167"/>
      <c r="J54" s="167"/>
      <c r="K54" s="167"/>
    </row>
    <row r="55" spans="1:11">
      <c r="B55" t="s">
        <v>727</v>
      </c>
      <c r="G55" s="168" t="s">
        <v>500</v>
      </c>
      <c r="H55" s="167"/>
      <c r="I55" s="167"/>
      <c r="J55" s="167"/>
      <c r="K55" s="167"/>
    </row>
    <row r="56" spans="1:11">
      <c r="B56" t="s">
        <v>1119</v>
      </c>
      <c r="G56" s="167"/>
      <c r="H56" s="167"/>
      <c r="I56" s="168" t="s">
        <v>500</v>
      </c>
      <c r="J56" s="167"/>
      <c r="K56" s="167"/>
    </row>
    <row r="57" spans="1:11">
      <c r="B57" t="s">
        <v>1120</v>
      </c>
      <c r="G57" s="167"/>
      <c r="H57" s="167"/>
      <c r="I57" s="168" t="s">
        <v>500</v>
      </c>
      <c r="J57" s="167"/>
      <c r="K57" s="167"/>
    </row>
    <row r="58" spans="1:11">
      <c r="B58" t="s">
        <v>1121</v>
      </c>
      <c r="G58" s="167"/>
      <c r="H58" s="167"/>
      <c r="I58" s="168" t="s">
        <v>500</v>
      </c>
      <c r="J58" s="167"/>
      <c r="K58" s="167"/>
    </row>
    <row r="59" spans="1:11">
      <c r="B59" t="s">
        <v>1122</v>
      </c>
      <c r="G59" s="167"/>
      <c r="H59" s="167"/>
      <c r="I59" s="168" t="s">
        <v>500</v>
      </c>
      <c r="J59" s="167"/>
      <c r="K59" s="167"/>
    </row>
    <row r="60" spans="1:11">
      <c r="B60" t="s">
        <v>1250</v>
      </c>
      <c r="G60" s="168" t="s">
        <v>500</v>
      </c>
      <c r="H60" s="167"/>
      <c r="I60" s="168"/>
      <c r="J60" s="167"/>
      <c r="K60" s="167"/>
    </row>
    <row r="61" spans="1:11">
      <c r="B61" t="s">
        <v>1331</v>
      </c>
      <c r="G61" s="168" t="s">
        <v>500</v>
      </c>
      <c r="H61" s="167"/>
      <c r="I61" s="168"/>
      <c r="J61" s="167"/>
      <c r="K61" s="167"/>
    </row>
    <row r="62" spans="1:11">
      <c r="B62" t="s">
        <v>1576</v>
      </c>
      <c r="G62" s="168" t="s">
        <v>500</v>
      </c>
      <c r="H62" s="168" t="s">
        <v>500</v>
      </c>
      <c r="I62" s="168"/>
      <c r="J62" s="167"/>
      <c r="K62" s="167"/>
    </row>
    <row r="63" spans="1:11">
      <c r="B63" s="1748" t="s">
        <v>1708</v>
      </c>
      <c r="C63" s="1748"/>
      <c r="D63" s="1748"/>
      <c r="E63" s="1748"/>
      <c r="G63" s="168" t="s">
        <v>500</v>
      </c>
      <c r="H63" s="168"/>
      <c r="I63" s="168"/>
      <c r="J63" s="167"/>
      <c r="K63" s="167"/>
    </row>
    <row r="64" spans="1:11">
      <c r="G64" s="167"/>
      <c r="H64" s="167"/>
      <c r="I64" s="167"/>
      <c r="J64" s="167"/>
      <c r="K64" s="167"/>
    </row>
    <row r="65" spans="1:11" ht="15.6">
      <c r="A65" s="169" t="s">
        <v>516</v>
      </c>
      <c r="G65" s="167"/>
      <c r="H65" s="167"/>
      <c r="I65" s="167"/>
      <c r="J65" s="167"/>
      <c r="K65" s="167"/>
    </row>
    <row r="66" spans="1:11" ht="15.6">
      <c r="A66" s="169"/>
      <c r="B66" t="s">
        <v>515</v>
      </c>
      <c r="G66" s="167"/>
      <c r="H66" s="167"/>
      <c r="I66" s="168" t="s">
        <v>500</v>
      </c>
      <c r="J66" s="167"/>
      <c r="K66" s="167"/>
    </row>
    <row r="67" spans="1:11" ht="15.6">
      <c r="A67" s="169"/>
      <c r="B67" t="s">
        <v>514</v>
      </c>
      <c r="G67" s="167"/>
      <c r="H67" s="167"/>
      <c r="I67" s="168" t="s">
        <v>500</v>
      </c>
      <c r="J67" s="167"/>
      <c r="K67" s="167"/>
    </row>
    <row r="68" spans="1:11">
      <c r="B68" t="s">
        <v>550</v>
      </c>
      <c r="G68" s="167"/>
      <c r="H68" s="167"/>
      <c r="I68" s="168" t="s">
        <v>500</v>
      </c>
      <c r="J68" s="167"/>
      <c r="K68" s="167"/>
    </row>
    <row r="69" spans="1:11">
      <c r="B69" t="s">
        <v>513</v>
      </c>
      <c r="G69" s="167"/>
      <c r="H69" s="167"/>
      <c r="I69" s="168" t="s">
        <v>500</v>
      </c>
      <c r="J69" s="167"/>
      <c r="K69" s="167"/>
    </row>
    <row r="70" spans="1:11">
      <c r="B70" t="s">
        <v>512</v>
      </c>
      <c r="G70" s="167"/>
      <c r="H70" s="167"/>
      <c r="I70" s="168" t="s">
        <v>500</v>
      </c>
      <c r="J70" s="167"/>
      <c r="K70" s="167"/>
    </row>
    <row r="71" spans="1:11">
      <c r="B71" t="s">
        <v>511</v>
      </c>
      <c r="G71" s="167"/>
      <c r="H71" s="167"/>
      <c r="I71" s="168" t="s">
        <v>500</v>
      </c>
      <c r="J71" s="167"/>
      <c r="K71" s="167"/>
    </row>
    <row r="72" spans="1:11">
      <c r="B72" t="s">
        <v>510</v>
      </c>
      <c r="G72" s="167"/>
      <c r="H72" s="167"/>
      <c r="I72" s="168" t="s">
        <v>500</v>
      </c>
      <c r="J72" s="167"/>
      <c r="K72" s="167"/>
    </row>
    <row r="73" spans="1:11">
      <c r="B73" t="s">
        <v>509</v>
      </c>
      <c r="G73" s="167"/>
      <c r="H73" s="167"/>
      <c r="I73" s="168" t="s">
        <v>500</v>
      </c>
      <c r="J73" s="167"/>
      <c r="K73" s="167"/>
    </row>
    <row r="74" spans="1:11">
      <c r="B74" t="s">
        <v>508</v>
      </c>
      <c r="G74" s="167"/>
      <c r="H74" s="167"/>
      <c r="I74" s="168" t="s">
        <v>500</v>
      </c>
      <c r="J74" s="167"/>
      <c r="K74" s="167"/>
    </row>
    <row r="75" spans="1:11">
      <c r="C75" t="s">
        <v>507</v>
      </c>
      <c r="G75" s="167"/>
      <c r="H75" s="167"/>
      <c r="I75" s="168" t="s">
        <v>500</v>
      </c>
      <c r="J75" s="167"/>
      <c r="K75" s="167"/>
    </row>
    <row r="76" spans="1:11">
      <c r="C76" t="s">
        <v>506</v>
      </c>
      <c r="G76" s="167"/>
      <c r="H76" s="167"/>
      <c r="I76" s="168" t="s">
        <v>500</v>
      </c>
      <c r="J76" s="167"/>
      <c r="K76" s="167"/>
    </row>
    <row r="77" spans="1:11">
      <c r="C77" t="s">
        <v>505</v>
      </c>
      <c r="G77" s="167"/>
      <c r="H77" s="167"/>
      <c r="I77" s="168" t="s">
        <v>500</v>
      </c>
      <c r="J77" s="167"/>
      <c r="K77" s="167"/>
    </row>
    <row r="78" spans="1:11">
      <c r="C78" t="s">
        <v>504</v>
      </c>
      <c r="G78" s="167"/>
      <c r="H78" s="167"/>
      <c r="I78" s="168" t="s">
        <v>500</v>
      </c>
      <c r="J78" s="167"/>
      <c r="K78" s="167"/>
    </row>
    <row r="79" spans="1:11">
      <c r="C79" t="s">
        <v>503</v>
      </c>
      <c r="G79" s="167"/>
      <c r="H79" s="167"/>
      <c r="I79" s="168" t="s">
        <v>500</v>
      </c>
      <c r="J79" s="167"/>
      <c r="K79" s="167"/>
    </row>
    <row r="80" spans="1:11">
      <c r="C80" t="s">
        <v>502</v>
      </c>
      <c r="G80" s="167"/>
      <c r="H80" s="167"/>
      <c r="I80" s="168" t="s">
        <v>500</v>
      </c>
      <c r="J80" s="167"/>
      <c r="K80" s="167"/>
    </row>
    <row r="81" spans="1:15">
      <c r="B81" t="s">
        <v>501</v>
      </c>
      <c r="G81" s="167"/>
      <c r="H81" s="167"/>
      <c r="I81" s="168" t="s">
        <v>500</v>
      </c>
      <c r="J81" s="167"/>
      <c r="K81" s="167"/>
    </row>
    <row r="82" spans="1:15">
      <c r="B82" t="s">
        <v>868</v>
      </c>
      <c r="G82" s="167"/>
      <c r="H82" s="167"/>
      <c r="I82" s="168" t="s">
        <v>500</v>
      </c>
      <c r="J82" s="167"/>
      <c r="K82" s="167"/>
    </row>
    <row r="83" spans="1:15">
      <c r="B83" t="s">
        <v>499</v>
      </c>
      <c r="G83" s="167"/>
      <c r="H83" s="167"/>
      <c r="I83" s="168" t="s">
        <v>500</v>
      </c>
      <c r="J83" s="167"/>
      <c r="K83" s="167"/>
    </row>
    <row r="84" spans="1:15">
      <c r="B84" t="s">
        <v>498</v>
      </c>
      <c r="G84" s="167"/>
      <c r="H84" s="167"/>
      <c r="I84" s="168" t="s">
        <v>500</v>
      </c>
      <c r="J84" s="167"/>
      <c r="K84" s="167"/>
    </row>
    <row r="85" spans="1:15" ht="29.1" customHeight="1">
      <c r="B85" s="1740" t="s">
        <v>918</v>
      </c>
      <c r="C85" s="1740"/>
      <c r="D85" s="1740"/>
      <c r="E85" s="1740"/>
      <c r="G85" s="167"/>
      <c r="H85" s="167"/>
      <c r="I85" s="168"/>
      <c r="J85" s="168" t="s">
        <v>500</v>
      </c>
      <c r="K85" s="167"/>
      <c r="N85" s="208"/>
      <c r="O85" s="208"/>
    </row>
    <row r="86" spans="1:15" ht="29.1" customHeight="1">
      <c r="B86" s="1740" t="s">
        <v>1125</v>
      </c>
      <c r="C86" s="1740"/>
      <c r="D86" s="1740"/>
      <c r="E86" s="1740"/>
      <c r="G86" s="167"/>
      <c r="H86" s="167"/>
      <c r="I86" s="168" t="s">
        <v>500</v>
      </c>
      <c r="J86" s="168"/>
      <c r="K86" s="167"/>
      <c r="L86" s="988"/>
      <c r="N86" s="208"/>
      <c r="O86" s="208"/>
    </row>
    <row r="87" spans="1:15">
      <c r="B87" s="593" t="s">
        <v>1127</v>
      </c>
      <c r="C87" s="592"/>
      <c r="D87" s="592"/>
      <c r="E87" s="592"/>
      <c r="G87" s="167"/>
      <c r="H87" s="167"/>
      <c r="I87" s="168" t="s">
        <v>500</v>
      </c>
      <c r="J87" s="168"/>
      <c r="K87" s="167"/>
      <c r="N87" s="208"/>
      <c r="O87" s="208"/>
    </row>
    <row r="88" spans="1:15">
      <c r="B88" s="601"/>
      <c r="G88" s="167"/>
      <c r="H88" s="167"/>
      <c r="I88" s="167"/>
      <c r="J88" s="167"/>
      <c r="K88" s="167"/>
      <c r="N88" s="208"/>
      <c r="O88" s="208"/>
    </row>
    <row r="89" spans="1:15" ht="15.6">
      <c r="A89" s="169" t="s">
        <v>1126</v>
      </c>
      <c r="B89" s="601"/>
      <c r="G89" s="167"/>
      <c r="H89" s="167"/>
      <c r="I89" s="167"/>
      <c r="J89" s="167"/>
      <c r="K89" s="167"/>
      <c r="N89" s="208"/>
      <c r="O89" s="208"/>
    </row>
    <row r="90" spans="1:15" ht="30" customHeight="1">
      <c r="B90" s="1740" t="s">
        <v>1125</v>
      </c>
      <c r="C90" s="1740"/>
      <c r="D90" s="1740"/>
      <c r="E90" s="1740"/>
      <c r="G90" s="167"/>
      <c r="H90" s="167"/>
      <c r="I90" s="168" t="s">
        <v>500</v>
      </c>
      <c r="J90" s="167"/>
      <c r="K90" s="167"/>
      <c r="L90" s="760"/>
    </row>
    <row r="91" spans="1:15">
      <c r="B91" s="593" t="s">
        <v>1127</v>
      </c>
      <c r="C91" s="592"/>
      <c r="D91" s="592"/>
      <c r="E91" s="592"/>
      <c r="G91" s="167"/>
      <c r="H91" s="167"/>
      <c r="I91" s="168" t="s">
        <v>500</v>
      </c>
      <c r="J91" s="167"/>
      <c r="K91" s="167"/>
    </row>
    <row r="92" spans="1:15" ht="30" customHeight="1">
      <c r="B92" s="1740" t="s">
        <v>1128</v>
      </c>
      <c r="C92" s="1740"/>
      <c r="D92" s="1740"/>
      <c r="E92" s="1740"/>
      <c r="G92" s="167"/>
      <c r="H92" s="167"/>
      <c r="I92" s="168" t="s">
        <v>500</v>
      </c>
      <c r="J92" s="167"/>
      <c r="K92" s="167"/>
    </row>
    <row r="93" spans="1:15" ht="30" customHeight="1">
      <c r="B93" s="1740" t="s">
        <v>1707</v>
      </c>
      <c r="C93" s="1740"/>
      <c r="D93" s="1740"/>
      <c r="E93" s="1740"/>
      <c r="G93" s="168" t="s">
        <v>500</v>
      </c>
      <c r="H93" s="167"/>
      <c r="I93" s="168"/>
      <c r="J93" s="167"/>
      <c r="K93" s="167"/>
    </row>
    <row r="94" spans="1:15">
      <c r="B94" s="601"/>
      <c r="G94" s="167"/>
      <c r="H94" s="167"/>
      <c r="I94" s="167"/>
      <c r="J94" s="167"/>
      <c r="K94" s="167"/>
    </row>
    <row r="95" spans="1:15" ht="15.6">
      <c r="A95" s="169" t="s">
        <v>1129</v>
      </c>
      <c r="B95" s="601"/>
      <c r="G95" s="167"/>
      <c r="H95" s="167"/>
      <c r="I95" s="167"/>
      <c r="J95" s="167"/>
      <c r="K95" s="167"/>
    </row>
    <row r="96" spans="1:15" ht="30" customHeight="1">
      <c r="B96" s="1740" t="s">
        <v>1125</v>
      </c>
      <c r="C96" s="1740"/>
      <c r="D96" s="1740"/>
      <c r="E96" s="1740"/>
      <c r="G96" s="167"/>
      <c r="H96" s="167"/>
      <c r="I96" s="168" t="s">
        <v>500</v>
      </c>
      <c r="J96" s="167"/>
      <c r="K96" s="167"/>
    </row>
    <row r="97" spans="1:11">
      <c r="B97" s="593" t="s">
        <v>1127</v>
      </c>
      <c r="C97" s="592"/>
      <c r="D97" s="592"/>
      <c r="E97" s="592"/>
      <c r="G97" s="167"/>
      <c r="H97" s="167"/>
      <c r="I97" s="168" t="s">
        <v>500</v>
      </c>
      <c r="J97" s="167"/>
      <c r="K97" s="167"/>
    </row>
    <row r="98" spans="1:11" ht="30" customHeight="1">
      <c r="B98" s="1740" t="s">
        <v>1128</v>
      </c>
      <c r="C98" s="1740"/>
      <c r="D98" s="1740"/>
      <c r="E98" s="1740"/>
      <c r="G98" s="167"/>
      <c r="H98" s="167"/>
      <c r="I98" s="168" t="s">
        <v>500</v>
      </c>
      <c r="J98" s="167"/>
      <c r="K98" s="167"/>
    </row>
    <row r="99" spans="1:11">
      <c r="B99" s="593" t="s">
        <v>1132</v>
      </c>
      <c r="C99" s="592"/>
      <c r="D99" s="592"/>
      <c r="E99" s="592"/>
      <c r="G99" s="167"/>
      <c r="H99" s="167"/>
      <c r="I99" s="168" t="s">
        <v>500</v>
      </c>
      <c r="J99" s="167"/>
      <c r="K99" s="167"/>
    </row>
    <row r="100" spans="1:11">
      <c r="B100" s="601"/>
      <c r="G100" s="167"/>
      <c r="H100" s="167"/>
      <c r="I100" s="167"/>
      <c r="J100" s="167"/>
      <c r="K100" s="167"/>
    </row>
    <row r="101" spans="1:11" ht="15.6">
      <c r="A101" s="169" t="s">
        <v>1130</v>
      </c>
      <c r="B101" s="601"/>
      <c r="G101" s="167"/>
      <c r="H101" s="167"/>
      <c r="I101" s="167"/>
      <c r="J101" s="167"/>
      <c r="K101" s="167"/>
    </row>
    <row r="102" spans="1:11" ht="30" customHeight="1">
      <c r="B102" s="1740" t="s">
        <v>1125</v>
      </c>
      <c r="C102" s="1740"/>
      <c r="D102" s="1740"/>
      <c r="E102" s="1740"/>
      <c r="G102" s="167"/>
      <c r="H102" s="167"/>
      <c r="I102" s="168" t="s">
        <v>500</v>
      </c>
      <c r="J102" s="167"/>
      <c r="K102" s="167"/>
    </row>
    <row r="103" spans="1:11">
      <c r="B103" s="593" t="s">
        <v>1127</v>
      </c>
      <c r="C103" s="592"/>
      <c r="D103" s="592"/>
      <c r="E103" s="592"/>
      <c r="G103" s="167"/>
      <c r="H103" s="167"/>
      <c r="I103" s="168" t="s">
        <v>500</v>
      </c>
      <c r="J103" s="167"/>
      <c r="K103" s="167"/>
    </row>
    <row r="104" spans="1:11" ht="14.4" customHeight="1">
      <c r="B104" s="1740" t="s">
        <v>1133</v>
      </c>
      <c r="C104" s="1740"/>
      <c r="D104" s="1740"/>
      <c r="E104" s="1740"/>
      <c r="G104" s="167"/>
      <c r="H104" s="167"/>
      <c r="I104" s="168" t="s">
        <v>500</v>
      </c>
      <c r="J104" s="167"/>
      <c r="K104" s="167"/>
    </row>
    <row r="105" spans="1:11">
      <c r="B105" s="601" t="s">
        <v>1134</v>
      </c>
      <c r="G105" s="167"/>
      <c r="H105" s="167"/>
      <c r="I105" s="168" t="s">
        <v>500</v>
      </c>
      <c r="J105" s="167"/>
      <c r="K105" s="167"/>
    </row>
    <row r="106" spans="1:11">
      <c r="B106" s="601"/>
      <c r="G106" s="167"/>
      <c r="H106" s="167"/>
      <c r="I106" s="167"/>
      <c r="J106" s="167"/>
      <c r="K106" s="167"/>
    </row>
    <row r="107" spans="1:11" ht="15.6">
      <c r="A107" s="169" t="s">
        <v>874</v>
      </c>
      <c r="G107" s="167"/>
      <c r="H107" s="167"/>
      <c r="I107" s="167"/>
      <c r="J107" s="167"/>
      <c r="K107" s="167"/>
    </row>
    <row r="108" spans="1:11" ht="30" customHeight="1">
      <c r="B108" s="1740" t="s">
        <v>875</v>
      </c>
      <c r="C108" s="1740"/>
      <c r="D108" s="1740"/>
      <c r="E108" s="1740"/>
      <c r="G108" s="167"/>
      <c r="H108" s="167"/>
      <c r="I108" s="168" t="s">
        <v>500</v>
      </c>
      <c r="J108" s="167"/>
      <c r="K108" s="167"/>
    </row>
    <row r="109" spans="1:11" ht="30" customHeight="1">
      <c r="B109" s="1740" t="s">
        <v>1082</v>
      </c>
      <c r="C109" s="1740"/>
      <c r="D109" s="1740"/>
      <c r="E109" s="1740"/>
      <c r="G109" s="167"/>
      <c r="H109" s="167"/>
      <c r="I109" s="168" t="s">
        <v>500</v>
      </c>
      <c r="J109" s="167"/>
      <c r="K109" s="167"/>
    </row>
    <row r="110" spans="1:11" ht="29.1" customHeight="1">
      <c r="B110" s="1744" t="s">
        <v>1081</v>
      </c>
      <c r="C110" s="1744"/>
      <c r="D110" s="1744"/>
      <c r="E110" s="1744"/>
      <c r="G110" s="167"/>
      <c r="H110" s="167"/>
      <c r="I110" s="168" t="s">
        <v>500</v>
      </c>
      <c r="J110" s="167"/>
      <c r="K110" s="167"/>
    </row>
    <row r="111" spans="1:11">
      <c r="B111" t="s">
        <v>1135</v>
      </c>
      <c r="G111" s="167"/>
      <c r="H111" s="167"/>
      <c r="I111" s="168" t="s">
        <v>500</v>
      </c>
      <c r="J111" s="167"/>
      <c r="K111" s="167"/>
    </row>
    <row r="112" spans="1:11">
      <c r="B112" t="s">
        <v>1136</v>
      </c>
      <c r="G112" s="167"/>
      <c r="H112" s="167"/>
      <c r="I112" s="168" t="s">
        <v>500</v>
      </c>
      <c r="J112" s="167"/>
      <c r="K112" s="167"/>
    </row>
    <row r="113" spans="1:11">
      <c r="B113" t="s">
        <v>1137</v>
      </c>
      <c r="G113" s="167"/>
      <c r="H113" s="167"/>
      <c r="I113" s="168" t="s">
        <v>500</v>
      </c>
      <c r="J113" s="167"/>
      <c r="K113" s="167"/>
    </row>
    <row r="114" spans="1:11">
      <c r="B114" t="s">
        <v>1138</v>
      </c>
      <c r="G114" s="167"/>
      <c r="H114" s="167"/>
      <c r="I114" s="168" t="s">
        <v>500</v>
      </c>
      <c r="J114" s="167"/>
      <c r="K114" s="167"/>
    </row>
    <row r="115" spans="1:11" ht="30" customHeight="1">
      <c r="B115" s="1744" t="s">
        <v>1139</v>
      </c>
      <c r="C115" s="1744"/>
      <c r="D115" s="1744"/>
      <c r="E115" s="1744"/>
      <c r="G115" s="167"/>
      <c r="H115" s="167"/>
      <c r="I115" s="168" t="s">
        <v>500</v>
      </c>
      <c r="J115" s="167"/>
      <c r="K115" s="167"/>
    </row>
    <row r="116" spans="1:11">
      <c r="B116" t="s">
        <v>1140</v>
      </c>
      <c r="G116" s="167"/>
      <c r="H116" s="167"/>
      <c r="I116" s="168" t="s">
        <v>500</v>
      </c>
      <c r="J116" s="167"/>
      <c r="K116" s="167"/>
    </row>
    <row r="117" spans="1:11">
      <c r="G117" s="167"/>
      <c r="H117" s="167"/>
      <c r="I117" s="167"/>
      <c r="J117" s="167"/>
      <c r="K117" s="167"/>
    </row>
    <row r="118" spans="1:11" ht="15.6">
      <c r="A118" s="169" t="s">
        <v>1131</v>
      </c>
      <c r="G118" s="167"/>
      <c r="H118" s="167"/>
      <c r="I118" s="167"/>
      <c r="J118" s="167"/>
      <c r="K118" s="167"/>
    </row>
    <row r="119" spans="1:11">
      <c r="B119" t="s">
        <v>1141</v>
      </c>
      <c r="G119" s="167"/>
      <c r="H119" s="167"/>
      <c r="I119" s="168" t="s">
        <v>500</v>
      </c>
      <c r="J119" s="167"/>
      <c r="K119" s="167"/>
    </row>
    <row r="120" spans="1:11">
      <c r="G120" s="167"/>
      <c r="H120" s="167"/>
      <c r="I120" s="167"/>
      <c r="J120" s="167"/>
      <c r="K120" s="167"/>
    </row>
    <row r="121" spans="1:11" ht="15.6">
      <c r="A121" s="169" t="s">
        <v>922</v>
      </c>
      <c r="G121" s="167"/>
      <c r="H121" s="167"/>
      <c r="I121" s="167"/>
      <c r="J121" s="167"/>
      <c r="K121" s="167"/>
    </row>
    <row r="122" spans="1:11">
      <c r="B122" s="108" t="s">
        <v>925</v>
      </c>
      <c r="G122" s="167"/>
      <c r="H122" s="167"/>
      <c r="I122" s="168" t="s">
        <v>500</v>
      </c>
      <c r="J122" s="167"/>
      <c r="K122" s="167"/>
    </row>
    <row r="123" spans="1:11">
      <c r="B123" s="108" t="s">
        <v>923</v>
      </c>
      <c r="G123" s="167"/>
      <c r="H123" s="167"/>
      <c r="I123" s="168" t="s">
        <v>500</v>
      </c>
      <c r="J123" s="167"/>
      <c r="K123" s="167"/>
    </row>
    <row r="124" spans="1:11" ht="30" customHeight="1">
      <c r="B124" s="1740" t="s">
        <v>1125</v>
      </c>
      <c r="C124" s="1740"/>
      <c r="D124" s="1740"/>
      <c r="E124" s="1740"/>
      <c r="G124" s="167"/>
      <c r="H124" s="167"/>
      <c r="I124" s="168" t="s">
        <v>500</v>
      </c>
      <c r="J124" s="167"/>
      <c r="K124" s="167"/>
    </row>
    <row r="125" spans="1:11">
      <c r="B125" s="593" t="s">
        <v>1127</v>
      </c>
      <c r="C125" s="592"/>
      <c r="D125" s="592"/>
      <c r="E125" s="592"/>
      <c r="G125" s="167"/>
      <c r="H125" s="167"/>
      <c r="I125" s="168" t="s">
        <v>500</v>
      </c>
      <c r="J125" s="167"/>
      <c r="K125" s="167"/>
    </row>
    <row r="126" spans="1:11">
      <c r="G126" s="167"/>
      <c r="H126" s="167"/>
      <c r="I126" s="167"/>
      <c r="J126" s="167"/>
      <c r="K126" s="167"/>
    </row>
    <row r="127" spans="1:11" ht="15.6">
      <c r="A127" s="169" t="s">
        <v>924</v>
      </c>
      <c r="G127" s="167"/>
      <c r="H127" s="167"/>
      <c r="I127" s="167"/>
      <c r="J127" s="167"/>
      <c r="K127" s="167"/>
    </row>
    <row r="128" spans="1:11">
      <c r="B128" s="108" t="s">
        <v>926</v>
      </c>
      <c r="G128" s="167"/>
      <c r="H128" s="167"/>
      <c r="I128" s="168" t="s">
        <v>500</v>
      </c>
      <c r="J128" s="167"/>
      <c r="K128" s="167"/>
    </row>
    <row r="129" spans="1:11" ht="30" customHeight="1">
      <c r="B129" s="1740" t="s">
        <v>1125</v>
      </c>
      <c r="C129" s="1740"/>
      <c r="D129" s="1740"/>
      <c r="E129" s="1740"/>
      <c r="G129" s="167"/>
      <c r="H129" s="167"/>
      <c r="I129" s="168" t="s">
        <v>500</v>
      </c>
      <c r="J129" s="167"/>
      <c r="K129" s="167"/>
    </row>
    <row r="130" spans="1:11">
      <c r="B130" s="593" t="s">
        <v>1127</v>
      </c>
      <c r="C130" s="592"/>
      <c r="D130" s="592"/>
      <c r="E130" s="592"/>
      <c r="G130" s="167"/>
      <c r="H130" s="167"/>
      <c r="I130" s="168" t="s">
        <v>500</v>
      </c>
      <c r="J130" s="167"/>
      <c r="K130" s="167"/>
    </row>
    <row r="131" spans="1:11">
      <c r="G131" s="167"/>
      <c r="H131" s="167"/>
      <c r="I131" s="167"/>
      <c r="J131" s="167"/>
      <c r="K131" s="167"/>
    </row>
    <row r="132" spans="1:11" ht="15.6">
      <c r="A132" s="169" t="s">
        <v>570</v>
      </c>
      <c r="G132" s="167"/>
      <c r="H132" s="167"/>
      <c r="I132" s="167"/>
      <c r="J132" s="167"/>
      <c r="K132" s="167"/>
    </row>
    <row r="133" spans="1:11">
      <c r="B133" t="s">
        <v>515</v>
      </c>
      <c r="G133" s="167"/>
      <c r="H133" s="167"/>
      <c r="I133" s="168" t="s">
        <v>500</v>
      </c>
      <c r="J133" s="167"/>
      <c r="K133" s="167"/>
    </row>
    <row r="134" spans="1:11">
      <c r="B134" t="s">
        <v>571</v>
      </c>
      <c r="G134" s="167"/>
      <c r="H134" s="167"/>
      <c r="I134" s="168" t="s">
        <v>500</v>
      </c>
      <c r="J134" s="167"/>
      <c r="K134" s="167"/>
    </row>
    <row r="135" spans="1:11">
      <c r="B135" t="s">
        <v>572</v>
      </c>
      <c r="G135" s="167"/>
      <c r="H135" s="167"/>
      <c r="I135" s="168" t="s">
        <v>500</v>
      </c>
      <c r="J135" s="167"/>
      <c r="K135" s="167"/>
    </row>
    <row r="136" spans="1:11">
      <c r="B136" t="s">
        <v>573</v>
      </c>
      <c r="G136" s="167"/>
      <c r="H136" s="167"/>
      <c r="I136" s="168" t="s">
        <v>500</v>
      </c>
      <c r="J136" s="167"/>
      <c r="K136" s="167"/>
    </row>
    <row r="137" spans="1:11">
      <c r="B137" t="s">
        <v>574</v>
      </c>
      <c r="G137" s="167"/>
      <c r="H137" s="167"/>
      <c r="I137" s="168" t="s">
        <v>500</v>
      </c>
      <c r="J137" s="167"/>
      <c r="K137" s="167"/>
    </row>
    <row r="138" spans="1:11" ht="28.5" customHeight="1">
      <c r="B138" s="108" t="s">
        <v>575</v>
      </c>
      <c r="G138" s="167"/>
      <c r="H138" s="167"/>
      <c r="I138" s="168" t="s">
        <v>500</v>
      </c>
      <c r="J138" s="167"/>
      <c r="K138" s="167"/>
    </row>
    <row r="139" spans="1:11">
      <c r="B139" t="s">
        <v>577</v>
      </c>
      <c r="G139" s="167"/>
      <c r="H139" s="167"/>
      <c r="I139" s="168" t="s">
        <v>500</v>
      </c>
      <c r="J139" s="167"/>
      <c r="K139" s="167"/>
    </row>
    <row r="140" spans="1:11">
      <c r="B140" t="s">
        <v>576</v>
      </c>
      <c r="G140" s="167"/>
      <c r="H140" s="167"/>
      <c r="I140" s="168" t="s">
        <v>500</v>
      </c>
      <c r="J140" s="167"/>
      <c r="K140" s="167"/>
    </row>
    <row r="141" spans="1:11" ht="44.1" customHeight="1">
      <c r="B141" s="1740" t="s">
        <v>1080</v>
      </c>
      <c r="C141" s="1740"/>
      <c r="D141" s="1740"/>
      <c r="E141" s="1740"/>
      <c r="G141" s="167"/>
      <c r="H141" s="167"/>
      <c r="I141" s="168" t="s">
        <v>500</v>
      </c>
      <c r="J141" s="167"/>
      <c r="K141" s="167"/>
    </row>
    <row r="142" spans="1:11" ht="44.1" customHeight="1">
      <c r="B142" s="1740" t="s">
        <v>728</v>
      </c>
      <c r="C142" s="1740"/>
      <c r="D142" s="1740"/>
      <c r="E142" s="1740"/>
      <c r="G142" s="167"/>
      <c r="H142" s="168" t="s">
        <v>500</v>
      </c>
      <c r="I142" s="168"/>
      <c r="J142" s="167"/>
      <c r="K142" s="167"/>
    </row>
    <row r="143" spans="1:11" ht="44.1" customHeight="1">
      <c r="B143" s="1740" t="s">
        <v>1061</v>
      </c>
      <c r="C143" s="1740"/>
      <c r="D143" s="1740"/>
      <c r="E143" s="1740"/>
      <c r="G143" s="167"/>
      <c r="H143" s="168"/>
      <c r="I143" s="168" t="s">
        <v>500</v>
      </c>
      <c r="J143" s="167"/>
      <c r="K143" s="167"/>
    </row>
    <row r="144" spans="1:11" ht="57" customHeight="1">
      <c r="B144" s="1740" t="s">
        <v>1060</v>
      </c>
      <c r="C144" s="1740"/>
      <c r="D144" s="1740"/>
      <c r="E144" s="1740"/>
      <c r="G144" s="167"/>
      <c r="H144" s="168"/>
      <c r="I144" s="168" t="s">
        <v>500</v>
      </c>
      <c r="J144" s="167"/>
      <c r="K144" s="167"/>
    </row>
    <row r="145" spans="2:11" ht="44.1" customHeight="1">
      <c r="B145" s="1740" t="s">
        <v>1079</v>
      </c>
      <c r="C145" s="1740"/>
      <c r="D145" s="1740"/>
      <c r="E145" s="1740"/>
      <c r="G145" s="167"/>
      <c r="H145" s="168" t="s">
        <v>500</v>
      </c>
      <c r="I145" s="168"/>
      <c r="J145" s="167"/>
      <c r="K145" s="167"/>
    </row>
    <row r="146" spans="2:11" ht="44.1" customHeight="1">
      <c r="B146" s="1740" t="s">
        <v>1078</v>
      </c>
      <c r="C146" s="1740"/>
      <c r="D146" s="1740"/>
      <c r="E146" s="1740"/>
      <c r="G146" s="167"/>
      <c r="H146" s="168" t="s">
        <v>500</v>
      </c>
      <c r="I146" s="567" t="s">
        <v>500</v>
      </c>
      <c r="J146" s="167"/>
      <c r="K146" s="167"/>
    </row>
    <row r="147" spans="2:11" ht="38.25" customHeight="1">
      <c r="B147" s="1740" t="s">
        <v>1077</v>
      </c>
      <c r="C147" s="1740"/>
      <c r="D147" s="1740"/>
      <c r="E147" s="1740"/>
      <c r="G147" s="167"/>
      <c r="H147" s="168" t="s">
        <v>500</v>
      </c>
      <c r="I147" s="567" t="s">
        <v>500</v>
      </c>
      <c r="J147" s="167"/>
      <c r="K147" s="167"/>
    </row>
    <row r="148" spans="2:11" ht="45.75" customHeight="1">
      <c r="B148" s="1740" t="s">
        <v>1076</v>
      </c>
      <c r="C148" s="1740"/>
      <c r="D148" s="1740"/>
      <c r="E148" s="1740"/>
      <c r="G148" s="167"/>
      <c r="H148" s="168" t="s">
        <v>500</v>
      </c>
      <c r="I148" s="168"/>
      <c r="J148" s="167"/>
      <c r="K148" s="167"/>
    </row>
    <row r="149" spans="2:11" ht="37.5" customHeight="1">
      <c r="B149" s="1740" t="s">
        <v>1075</v>
      </c>
      <c r="C149" s="1740"/>
      <c r="D149" s="1740"/>
      <c r="E149" s="1740"/>
      <c r="G149" s="167"/>
      <c r="H149" s="168" t="s">
        <v>500</v>
      </c>
      <c r="I149" s="168"/>
      <c r="J149" s="167"/>
      <c r="K149" s="167"/>
    </row>
    <row r="150" spans="2:11" ht="48.75" customHeight="1">
      <c r="B150" s="1740" t="s">
        <v>1074</v>
      </c>
      <c r="C150" s="1740"/>
      <c r="D150" s="1740"/>
      <c r="E150" s="1740"/>
      <c r="G150" s="167"/>
      <c r="H150" s="168" t="s">
        <v>500</v>
      </c>
      <c r="I150" s="168"/>
      <c r="J150" s="167"/>
      <c r="K150" s="167"/>
    </row>
    <row r="151" spans="2:11">
      <c r="B151" s="1742" t="s">
        <v>748</v>
      </c>
      <c r="C151" s="1742"/>
      <c r="D151" s="1742"/>
      <c r="E151" s="1742"/>
      <c r="G151" s="167"/>
      <c r="H151" s="168" t="s">
        <v>500</v>
      </c>
      <c r="I151" s="168"/>
      <c r="J151" s="167"/>
      <c r="K151" s="167"/>
    </row>
    <row r="152" spans="2:11" ht="54.75" customHeight="1">
      <c r="B152" s="1743" t="s">
        <v>729</v>
      </c>
      <c r="C152" s="1743"/>
      <c r="D152" s="1743"/>
      <c r="E152" s="1743"/>
      <c r="G152" s="167"/>
      <c r="H152" s="168" t="s">
        <v>500</v>
      </c>
      <c r="I152" s="213" t="s">
        <v>1072</v>
      </c>
      <c r="J152" s="167"/>
      <c r="K152" s="167"/>
    </row>
    <row r="153" spans="2:11" ht="41.25" customHeight="1">
      <c r="B153" s="1743" t="s">
        <v>730</v>
      </c>
      <c r="C153" s="1743"/>
      <c r="D153" s="1743"/>
      <c r="E153" s="1743"/>
      <c r="G153" s="167"/>
      <c r="H153" s="168" t="s">
        <v>500</v>
      </c>
      <c r="I153" s="213" t="s">
        <v>1072</v>
      </c>
      <c r="J153" s="167"/>
      <c r="K153" s="167"/>
    </row>
    <row r="154" spans="2:11" ht="51.75" customHeight="1">
      <c r="B154" s="1743" t="s">
        <v>731</v>
      </c>
      <c r="C154" s="1743"/>
      <c r="D154" s="1743"/>
      <c r="E154" s="1743"/>
      <c r="G154" s="167"/>
      <c r="H154" s="168" t="s">
        <v>500</v>
      </c>
      <c r="I154" s="168"/>
      <c r="J154" s="167"/>
      <c r="K154" s="167"/>
    </row>
    <row r="155" spans="2:11" ht="37.5" customHeight="1">
      <c r="B155" s="1740" t="s">
        <v>1073</v>
      </c>
      <c r="C155" s="1740"/>
      <c r="D155" s="1740"/>
      <c r="E155" s="1740"/>
      <c r="G155" s="167"/>
      <c r="H155" s="168" t="s">
        <v>500</v>
      </c>
      <c r="I155" s="567" t="s">
        <v>500</v>
      </c>
      <c r="J155" s="167"/>
      <c r="K155" s="167"/>
    </row>
    <row r="156" spans="2:11" ht="45.75" customHeight="1">
      <c r="B156" s="1740" t="s">
        <v>732</v>
      </c>
      <c r="C156" s="1740"/>
      <c r="D156" s="1740"/>
      <c r="E156" s="1740"/>
      <c r="G156" s="167"/>
      <c r="H156" s="168" t="s">
        <v>500</v>
      </c>
      <c r="I156" s="168"/>
      <c r="J156" s="167"/>
      <c r="K156" s="167"/>
    </row>
    <row r="157" spans="2:11">
      <c r="B157" s="1742" t="s">
        <v>748</v>
      </c>
      <c r="C157" s="1742"/>
      <c r="D157" s="1742"/>
      <c r="E157" s="1742"/>
      <c r="G157" s="167"/>
      <c r="H157" s="168" t="s">
        <v>500</v>
      </c>
      <c r="I157" s="168"/>
      <c r="J157" s="167"/>
      <c r="K157" s="167"/>
    </row>
    <row r="158" spans="2:11" ht="43.5" customHeight="1">
      <c r="B158" s="1743" t="s">
        <v>733</v>
      </c>
      <c r="C158" s="1743"/>
      <c r="D158" s="1743"/>
      <c r="E158" s="1743"/>
      <c r="G158" s="167"/>
      <c r="H158" s="168" t="s">
        <v>500</v>
      </c>
      <c r="I158" s="168"/>
      <c r="J158" s="167"/>
      <c r="K158" s="167"/>
    </row>
    <row r="159" spans="2:11" ht="46.5" customHeight="1">
      <c r="B159" s="1743" t="s">
        <v>734</v>
      </c>
      <c r="C159" s="1743"/>
      <c r="D159" s="1743"/>
      <c r="E159" s="1743"/>
      <c r="G159" s="167"/>
      <c r="H159" s="168" t="s">
        <v>500</v>
      </c>
      <c r="I159" s="168"/>
      <c r="J159" s="167"/>
      <c r="K159" s="167"/>
    </row>
    <row r="160" spans="2:11" ht="49.5" customHeight="1">
      <c r="B160" s="1743" t="s">
        <v>735</v>
      </c>
      <c r="C160" s="1743"/>
      <c r="D160" s="1743"/>
      <c r="E160" s="1743"/>
      <c r="G160" s="167"/>
      <c r="H160" s="168" t="s">
        <v>500</v>
      </c>
      <c r="I160" s="168"/>
      <c r="J160" s="167"/>
      <c r="K160" s="167"/>
    </row>
    <row r="161" spans="1:11" ht="33.75" customHeight="1">
      <c r="B161" s="1740" t="s">
        <v>736</v>
      </c>
      <c r="C161" s="1740"/>
      <c r="D161" s="1740"/>
      <c r="E161" s="1740"/>
      <c r="G161" s="167"/>
      <c r="H161" s="168" t="s">
        <v>500</v>
      </c>
      <c r="I161" s="168"/>
      <c r="J161" s="167"/>
      <c r="K161" s="167"/>
    </row>
    <row r="162" spans="1:11" ht="33.75" customHeight="1">
      <c r="B162" s="1740" t="s">
        <v>737</v>
      </c>
      <c r="C162" s="1740"/>
      <c r="D162" s="1740"/>
      <c r="E162" s="1740"/>
      <c r="G162" s="167"/>
      <c r="H162" s="168" t="s">
        <v>500</v>
      </c>
      <c r="I162" s="168"/>
      <c r="J162" s="167"/>
      <c r="K162" s="167"/>
    </row>
    <row r="163" spans="1:11" ht="93.75" customHeight="1">
      <c r="B163" s="1740" t="s">
        <v>738</v>
      </c>
      <c r="C163" s="1740"/>
      <c r="D163" s="1740"/>
      <c r="E163" s="1740"/>
      <c r="G163" s="167"/>
      <c r="H163" s="168" t="s">
        <v>500</v>
      </c>
      <c r="I163" s="213" t="s">
        <v>1072</v>
      </c>
      <c r="J163" s="167"/>
      <c r="K163" s="167"/>
    </row>
    <row r="164" spans="1:11">
      <c r="B164" s="1742" t="s">
        <v>748</v>
      </c>
      <c r="C164" s="1742"/>
      <c r="D164" s="1742"/>
      <c r="E164" s="1742"/>
      <c r="G164" s="167"/>
      <c r="H164" s="168" t="s">
        <v>500</v>
      </c>
      <c r="I164" s="168"/>
      <c r="J164" s="167"/>
      <c r="K164" s="167"/>
    </row>
    <row r="165" spans="1:11" ht="65.25" customHeight="1">
      <c r="B165" s="1743" t="s">
        <v>739</v>
      </c>
      <c r="C165" s="1743"/>
      <c r="D165" s="1743"/>
      <c r="E165" s="1743"/>
      <c r="G165" s="167"/>
      <c r="H165" s="168" t="s">
        <v>500</v>
      </c>
      <c r="I165" s="213" t="s">
        <v>1072</v>
      </c>
      <c r="J165" s="167"/>
      <c r="K165" s="167"/>
    </row>
    <row r="166" spans="1:11" ht="55.5" customHeight="1">
      <c r="B166" s="1743" t="s">
        <v>740</v>
      </c>
      <c r="C166" s="1743"/>
      <c r="D166" s="1743"/>
      <c r="E166" s="1743"/>
      <c r="G166" s="167"/>
      <c r="H166" s="168" t="s">
        <v>500</v>
      </c>
      <c r="I166" s="213" t="s">
        <v>1072</v>
      </c>
      <c r="J166" s="167"/>
      <c r="K166" s="167"/>
    </row>
    <row r="167" spans="1:11" ht="78.75" customHeight="1">
      <c r="B167" s="1743" t="s">
        <v>741</v>
      </c>
      <c r="C167" s="1743"/>
      <c r="D167" s="1743"/>
      <c r="E167" s="1743"/>
      <c r="G167" s="167"/>
      <c r="H167" s="168" t="s">
        <v>500</v>
      </c>
      <c r="I167" s="213" t="s">
        <v>1072</v>
      </c>
      <c r="J167" s="167"/>
      <c r="K167" s="167"/>
    </row>
    <row r="168" spans="1:11" ht="51" customHeight="1">
      <c r="A168" t="s">
        <v>711</v>
      </c>
      <c r="B168" s="1743" t="s">
        <v>742</v>
      </c>
      <c r="C168" s="1743"/>
      <c r="D168" s="1743"/>
      <c r="E168" s="1743"/>
      <c r="G168" s="167"/>
      <c r="H168" s="168" t="s">
        <v>500</v>
      </c>
      <c r="I168" s="213" t="s">
        <v>1072</v>
      </c>
      <c r="J168" s="167"/>
      <c r="K168" s="167"/>
    </row>
    <row r="169" spans="1:11">
      <c r="B169" s="1740" t="s">
        <v>743</v>
      </c>
      <c r="C169" s="1740"/>
      <c r="D169" s="1740"/>
      <c r="E169" s="1740"/>
      <c r="G169" s="167"/>
      <c r="H169" s="168" t="s">
        <v>500</v>
      </c>
      <c r="I169" s="168"/>
      <c r="J169" s="167"/>
      <c r="K169" s="167"/>
    </row>
    <row r="170" spans="1:11">
      <c r="B170" s="1740" t="s">
        <v>744</v>
      </c>
      <c r="C170" s="1740"/>
      <c r="D170" s="1740"/>
      <c r="E170" s="1740"/>
      <c r="G170" s="167"/>
      <c r="H170" s="168" t="s">
        <v>500</v>
      </c>
      <c r="I170" s="168"/>
      <c r="J170" s="167"/>
      <c r="K170" s="167"/>
    </row>
    <row r="171" spans="1:11" ht="30.75" customHeight="1">
      <c r="B171" s="1740" t="s">
        <v>745</v>
      </c>
      <c r="C171" s="1740"/>
      <c r="D171" s="1740"/>
      <c r="E171" s="1740"/>
      <c r="G171" s="167"/>
      <c r="H171" s="168" t="s">
        <v>500</v>
      </c>
      <c r="I171" s="168"/>
      <c r="J171" s="167"/>
      <c r="K171" s="167"/>
    </row>
    <row r="172" spans="1:11" ht="30" customHeight="1">
      <c r="B172" s="1740" t="s">
        <v>746</v>
      </c>
      <c r="C172" s="1740"/>
      <c r="D172" s="1740"/>
      <c r="E172" s="1740"/>
      <c r="G172" s="167"/>
      <c r="H172" s="168" t="s">
        <v>500</v>
      </c>
      <c r="I172" s="168"/>
      <c r="J172" s="167"/>
      <c r="K172" s="167"/>
    </row>
    <row r="173" spans="1:11">
      <c r="B173" s="1740" t="s">
        <v>747</v>
      </c>
      <c r="C173" s="1740"/>
      <c r="D173" s="1740"/>
      <c r="E173" s="1740"/>
      <c r="G173" s="167"/>
      <c r="H173" s="168" t="s">
        <v>500</v>
      </c>
      <c r="I173" s="168"/>
      <c r="J173" s="167"/>
      <c r="K173" s="167"/>
    </row>
    <row r="174" spans="1:11">
      <c r="B174" t="s">
        <v>788</v>
      </c>
      <c r="G174" s="168" t="s">
        <v>500</v>
      </c>
      <c r="H174" s="167"/>
      <c r="I174" s="167"/>
      <c r="J174" s="167"/>
      <c r="K174" s="167"/>
    </row>
    <row r="175" spans="1:11" ht="44.1" customHeight="1">
      <c r="B175" s="1740" t="s">
        <v>869</v>
      </c>
      <c r="C175" s="1740"/>
      <c r="D175" s="1740"/>
      <c r="E175" s="1740"/>
      <c r="G175" s="167"/>
      <c r="H175" s="167"/>
      <c r="I175" s="168" t="s">
        <v>500</v>
      </c>
      <c r="J175" s="167"/>
      <c r="K175" s="167"/>
    </row>
    <row r="176" spans="1:11" ht="43.5" customHeight="1">
      <c r="B176" s="1744" t="s">
        <v>1071</v>
      </c>
      <c r="C176" s="1744"/>
      <c r="D176" s="1744"/>
      <c r="E176" s="1744"/>
      <c r="G176" s="167"/>
      <c r="H176" s="167"/>
      <c r="I176" s="168" t="s">
        <v>500</v>
      </c>
      <c r="J176" s="167"/>
      <c r="K176" s="167"/>
    </row>
    <row r="177" spans="1:11" ht="29.1" customHeight="1">
      <c r="B177" s="1744" t="s">
        <v>1070</v>
      </c>
      <c r="C177" s="1744"/>
      <c r="D177" s="1744"/>
      <c r="E177" s="1744"/>
      <c r="G177" s="167"/>
      <c r="H177" s="167"/>
      <c r="I177" s="168" t="s">
        <v>500</v>
      </c>
      <c r="J177" s="167"/>
      <c r="K177" s="167"/>
    </row>
    <row r="178" spans="1:11">
      <c r="G178" s="167"/>
      <c r="H178" s="167"/>
      <c r="I178" s="167"/>
      <c r="J178" s="167"/>
      <c r="K178" s="167"/>
    </row>
    <row r="179" spans="1:11" ht="15.6">
      <c r="A179" s="169" t="s">
        <v>708</v>
      </c>
      <c r="G179" s="167"/>
      <c r="H179" s="167"/>
      <c r="I179" s="167"/>
      <c r="J179" s="167"/>
      <c r="K179" s="167"/>
    </row>
    <row r="180" spans="1:11">
      <c r="B180" t="s">
        <v>1335</v>
      </c>
      <c r="G180" s="168" t="s">
        <v>500</v>
      </c>
      <c r="H180" s="167"/>
      <c r="I180" s="167"/>
      <c r="J180" s="167"/>
      <c r="K180" s="167"/>
    </row>
    <row r="181" spans="1:11">
      <c r="B181" t="s">
        <v>1336</v>
      </c>
      <c r="G181" s="168" t="s">
        <v>500</v>
      </c>
      <c r="H181" s="167"/>
      <c r="I181" s="167"/>
      <c r="J181" s="167"/>
      <c r="K181" s="167"/>
    </row>
    <row r="182" spans="1:11">
      <c r="B182" t="s">
        <v>1332</v>
      </c>
      <c r="G182" s="168" t="s">
        <v>500</v>
      </c>
      <c r="H182" s="167"/>
      <c r="I182" s="167"/>
      <c r="J182" s="167"/>
      <c r="K182" s="167"/>
    </row>
    <row r="183" spans="1:11">
      <c r="B183" t="s">
        <v>1333</v>
      </c>
      <c r="G183" s="168" t="s">
        <v>500</v>
      </c>
      <c r="H183" s="167"/>
      <c r="I183" s="167"/>
      <c r="J183" s="167"/>
      <c r="K183" s="167"/>
    </row>
    <row r="184" spans="1:11">
      <c r="B184" t="s">
        <v>1337</v>
      </c>
      <c r="G184" s="168" t="s">
        <v>500</v>
      </c>
      <c r="H184" s="167"/>
      <c r="I184" s="167"/>
      <c r="J184" s="167"/>
      <c r="K184" s="167"/>
    </row>
    <row r="185" spans="1:11">
      <c r="B185" t="s">
        <v>1334</v>
      </c>
      <c r="G185" s="168" t="s">
        <v>500</v>
      </c>
      <c r="H185" s="167"/>
      <c r="I185" s="167"/>
      <c r="J185" s="167"/>
      <c r="K185" s="167"/>
    </row>
    <row r="186" spans="1:11">
      <c r="B186" t="s">
        <v>1413</v>
      </c>
      <c r="G186" s="168" t="s">
        <v>500</v>
      </c>
      <c r="H186" s="167"/>
      <c r="I186" s="167"/>
      <c r="J186" s="167"/>
      <c r="K186" s="167"/>
    </row>
    <row r="187" spans="1:11">
      <c r="B187" t="s">
        <v>1414</v>
      </c>
      <c r="G187" s="168" t="s">
        <v>500</v>
      </c>
      <c r="H187" s="167"/>
      <c r="I187" s="167"/>
      <c r="J187" s="167"/>
      <c r="K187" s="167"/>
    </row>
    <row r="188" spans="1:11">
      <c r="B188" t="s">
        <v>1415</v>
      </c>
      <c r="G188" s="168" t="s">
        <v>500</v>
      </c>
      <c r="H188" s="167"/>
      <c r="I188" s="167"/>
      <c r="J188" s="167"/>
      <c r="K188" s="167"/>
    </row>
    <row r="189" spans="1:11">
      <c r="B189" t="s">
        <v>1419</v>
      </c>
      <c r="G189" s="168" t="s">
        <v>500</v>
      </c>
      <c r="H189" s="167"/>
      <c r="I189" s="167"/>
      <c r="J189" s="167"/>
      <c r="K189" s="167"/>
    </row>
    <row r="190" spans="1:11">
      <c r="G190" s="168"/>
      <c r="H190" s="167"/>
      <c r="I190" s="167"/>
      <c r="J190" s="167"/>
      <c r="K190" s="167"/>
    </row>
    <row r="191" spans="1:11">
      <c r="G191" s="167"/>
      <c r="H191" s="167"/>
      <c r="I191" s="167"/>
      <c r="J191" s="167"/>
      <c r="K191" s="167"/>
    </row>
    <row r="192" spans="1:11" ht="15.6">
      <c r="A192" s="169" t="s">
        <v>927</v>
      </c>
      <c r="G192" s="167"/>
      <c r="H192" s="167"/>
      <c r="I192" s="167"/>
      <c r="J192" s="167"/>
      <c r="K192" s="167"/>
    </row>
    <row r="193" spans="1:11" ht="29.1" customHeight="1">
      <c r="B193" s="1740" t="s">
        <v>928</v>
      </c>
      <c r="C193" s="1740"/>
      <c r="D193" s="1740"/>
      <c r="E193" s="1740"/>
      <c r="G193" s="167"/>
      <c r="H193" s="167"/>
      <c r="I193" s="168" t="s">
        <v>500</v>
      </c>
      <c r="J193" s="167"/>
      <c r="K193" s="167"/>
    </row>
    <row r="194" spans="1:11">
      <c r="B194" s="108" t="s">
        <v>929</v>
      </c>
      <c r="G194" s="167"/>
      <c r="H194" s="167"/>
      <c r="I194" s="168" t="s">
        <v>500</v>
      </c>
      <c r="J194" s="167"/>
      <c r="K194" s="167"/>
    </row>
    <row r="195" spans="1:11">
      <c r="G195" s="167"/>
      <c r="H195" s="167"/>
      <c r="I195" s="167"/>
      <c r="J195" s="167"/>
      <c r="K195" s="167"/>
    </row>
    <row r="196" spans="1:11" ht="15.6">
      <c r="A196" s="169" t="s">
        <v>1069</v>
      </c>
      <c r="G196" s="167"/>
      <c r="H196" s="167"/>
      <c r="I196" s="167"/>
      <c r="J196" s="167"/>
      <c r="K196" s="167"/>
    </row>
    <row r="197" spans="1:11">
      <c r="B197" t="s">
        <v>935</v>
      </c>
      <c r="G197" s="167"/>
      <c r="H197" s="167"/>
      <c r="I197" s="168" t="s">
        <v>500</v>
      </c>
      <c r="J197" s="167"/>
      <c r="K197" s="167"/>
    </row>
    <row r="198" spans="1:11">
      <c r="G198" s="167"/>
      <c r="H198" s="167"/>
      <c r="I198" s="167"/>
      <c r="J198" s="167"/>
      <c r="K198" s="167"/>
    </row>
    <row r="199" spans="1:11" ht="15.6">
      <c r="A199" s="169" t="s">
        <v>1068</v>
      </c>
      <c r="G199" s="167"/>
      <c r="H199" s="167"/>
      <c r="I199" s="167"/>
      <c r="J199" s="167"/>
      <c r="K199" s="167"/>
    </row>
    <row r="200" spans="1:11" ht="29.1" customHeight="1">
      <c r="B200" s="1740" t="s">
        <v>1067</v>
      </c>
      <c r="C200" s="1740"/>
      <c r="D200" s="1740"/>
      <c r="E200" s="1740"/>
      <c r="G200" s="167"/>
      <c r="H200" s="167"/>
      <c r="I200" s="168" t="s">
        <v>500</v>
      </c>
      <c r="J200" s="167"/>
      <c r="K200" s="167"/>
    </row>
    <row r="201" spans="1:11">
      <c r="G201" s="167"/>
      <c r="H201" s="167"/>
      <c r="I201" s="167"/>
      <c r="J201" s="167"/>
      <c r="K201" s="167"/>
    </row>
    <row r="202" spans="1:11">
      <c r="G202" s="167"/>
      <c r="H202" s="167"/>
      <c r="I202" s="167"/>
      <c r="J202" s="167"/>
      <c r="K202" s="167"/>
    </row>
    <row r="203" spans="1:11">
      <c r="G203" s="167"/>
      <c r="H203" s="167"/>
      <c r="I203" s="167"/>
      <c r="J203" s="167"/>
      <c r="K203" s="167"/>
    </row>
    <row r="204" spans="1:11">
      <c r="G204" s="167"/>
      <c r="H204" s="167"/>
      <c r="I204" s="167"/>
      <c r="J204" s="167"/>
      <c r="K204" s="167"/>
    </row>
    <row r="205" spans="1:11">
      <c r="G205" s="167"/>
      <c r="H205" s="167"/>
      <c r="I205" s="167"/>
      <c r="J205" s="167"/>
      <c r="K205" s="167"/>
    </row>
    <row r="206" spans="1:11">
      <c r="G206" s="167"/>
      <c r="H206" s="167"/>
      <c r="I206" s="167"/>
      <c r="J206" s="167"/>
      <c r="K206" s="167"/>
    </row>
    <row r="207" spans="1:11">
      <c r="G207" s="167"/>
      <c r="H207" s="167"/>
      <c r="I207" s="167"/>
      <c r="J207" s="167"/>
      <c r="K207" s="167"/>
    </row>
    <row r="208" spans="1:11">
      <c r="G208" s="167"/>
      <c r="H208" s="167"/>
      <c r="I208" s="167"/>
      <c r="J208" s="167"/>
      <c r="K208" s="167"/>
    </row>
    <row r="209" spans="7:11">
      <c r="G209" s="167"/>
      <c r="H209" s="167"/>
      <c r="I209" s="167"/>
      <c r="J209" s="167"/>
      <c r="K209" s="167"/>
    </row>
    <row r="210" spans="7:11">
      <c r="G210" s="167"/>
      <c r="H210" s="167"/>
      <c r="I210" s="167"/>
      <c r="J210" s="167"/>
      <c r="K210" s="167"/>
    </row>
    <row r="211" spans="7:11">
      <c r="G211" s="167"/>
      <c r="H211" s="167"/>
      <c r="I211" s="167"/>
      <c r="J211" s="167"/>
      <c r="K211" s="167"/>
    </row>
    <row r="212" spans="7:11">
      <c r="G212" s="167"/>
      <c r="H212" s="167"/>
      <c r="I212" s="167"/>
      <c r="J212" s="167"/>
      <c r="K212" s="167"/>
    </row>
    <row r="213" spans="7:11">
      <c r="G213" s="167"/>
      <c r="H213" s="167"/>
      <c r="I213" s="167"/>
      <c r="J213" s="167"/>
      <c r="K213" s="167"/>
    </row>
    <row r="214" spans="7:11">
      <c r="G214" s="167"/>
      <c r="H214" s="167"/>
      <c r="I214" s="167"/>
      <c r="J214" s="167"/>
      <c r="K214" s="167"/>
    </row>
    <row r="215" spans="7:11">
      <c r="G215" s="167"/>
      <c r="H215" s="167"/>
      <c r="I215" s="167"/>
      <c r="J215" s="167"/>
      <c r="K215" s="167"/>
    </row>
    <row r="216" spans="7:11">
      <c r="G216" s="167"/>
      <c r="H216" s="167"/>
      <c r="I216" s="167"/>
      <c r="J216" s="167"/>
      <c r="K216" s="167"/>
    </row>
    <row r="217" spans="7:11">
      <c r="G217" s="167"/>
      <c r="H217" s="167"/>
      <c r="I217" s="167"/>
      <c r="J217" s="167"/>
      <c r="K217" s="167"/>
    </row>
    <row r="218" spans="7:11">
      <c r="G218" s="167"/>
      <c r="H218" s="167"/>
      <c r="I218" s="167"/>
      <c r="J218" s="167"/>
      <c r="K218" s="167"/>
    </row>
    <row r="219" spans="7:11">
      <c r="G219" s="167"/>
      <c r="H219" s="167"/>
      <c r="I219" s="167"/>
      <c r="J219" s="167"/>
      <c r="K219" s="167"/>
    </row>
    <row r="220" spans="7:11">
      <c r="G220" s="167"/>
      <c r="H220" s="167"/>
      <c r="I220" s="167"/>
      <c r="J220" s="167"/>
      <c r="K220" s="167"/>
    </row>
    <row r="221" spans="7:11">
      <c r="G221" s="167"/>
      <c r="H221" s="167"/>
      <c r="I221" s="167"/>
      <c r="J221" s="167"/>
      <c r="K221" s="167"/>
    </row>
    <row r="222" spans="7:11">
      <c r="G222" s="167"/>
      <c r="H222" s="167"/>
      <c r="I222" s="167"/>
      <c r="J222" s="167"/>
      <c r="K222" s="167"/>
    </row>
    <row r="223" spans="7:11">
      <c r="G223" s="167"/>
      <c r="H223" s="167"/>
      <c r="I223" s="167"/>
      <c r="J223" s="167"/>
      <c r="K223" s="167"/>
    </row>
    <row r="224" spans="7:11">
      <c r="G224" s="167"/>
      <c r="H224" s="167"/>
      <c r="I224" s="167"/>
      <c r="J224" s="167"/>
      <c r="K224" s="167"/>
    </row>
    <row r="225" spans="7:11">
      <c r="G225" s="167"/>
      <c r="H225" s="167"/>
      <c r="I225" s="167"/>
      <c r="J225" s="167"/>
      <c r="K225" s="167"/>
    </row>
    <row r="226" spans="7:11">
      <c r="G226" s="167"/>
      <c r="H226" s="167"/>
      <c r="I226" s="167"/>
      <c r="J226" s="167"/>
      <c r="K226" s="167"/>
    </row>
    <row r="227" spans="7:11">
      <c r="G227" s="167"/>
      <c r="H227" s="167"/>
      <c r="I227" s="167"/>
      <c r="J227" s="167"/>
      <c r="K227" s="167"/>
    </row>
    <row r="228" spans="7:11">
      <c r="G228" s="167"/>
      <c r="H228" s="167"/>
      <c r="I228" s="167"/>
      <c r="J228" s="167"/>
      <c r="K228" s="167"/>
    </row>
    <row r="229" spans="7:11">
      <c r="G229" s="167"/>
      <c r="H229" s="167"/>
      <c r="I229" s="167"/>
      <c r="J229" s="167"/>
      <c r="K229" s="167"/>
    </row>
    <row r="230" spans="7:11">
      <c r="G230" s="167"/>
      <c r="H230" s="167"/>
      <c r="I230" s="167"/>
      <c r="J230" s="167"/>
      <c r="K230" s="167"/>
    </row>
    <row r="231" spans="7:11">
      <c r="G231" s="167"/>
      <c r="H231" s="167"/>
      <c r="I231" s="167"/>
      <c r="J231" s="167"/>
      <c r="K231" s="167"/>
    </row>
    <row r="232" spans="7:11">
      <c r="G232" s="167"/>
      <c r="H232" s="167"/>
      <c r="I232" s="167"/>
      <c r="J232" s="167"/>
      <c r="K232" s="167"/>
    </row>
    <row r="233" spans="7:11">
      <c r="G233" s="167"/>
      <c r="H233" s="167"/>
      <c r="I233" s="167"/>
      <c r="J233" s="167"/>
      <c r="K233" s="167"/>
    </row>
    <row r="234" spans="7:11">
      <c r="G234" s="167"/>
      <c r="H234" s="167"/>
      <c r="I234" s="167"/>
      <c r="J234" s="167"/>
      <c r="K234" s="167"/>
    </row>
    <row r="235" spans="7:11">
      <c r="G235" s="167"/>
      <c r="H235" s="167"/>
      <c r="I235" s="167"/>
      <c r="J235" s="167"/>
      <c r="K235" s="167"/>
    </row>
    <row r="236" spans="7:11">
      <c r="G236" s="167"/>
      <c r="H236" s="167"/>
      <c r="I236" s="167"/>
      <c r="J236" s="167"/>
      <c r="K236" s="167"/>
    </row>
    <row r="237" spans="7:11">
      <c r="G237" s="167"/>
      <c r="H237" s="167"/>
      <c r="I237" s="167"/>
      <c r="J237" s="167"/>
      <c r="K237" s="167"/>
    </row>
    <row r="238" spans="7:11">
      <c r="G238" s="167"/>
      <c r="H238" s="167"/>
      <c r="I238" s="167"/>
      <c r="J238" s="167"/>
      <c r="K238" s="167"/>
    </row>
    <row r="239" spans="7:11">
      <c r="G239" s="167"/>
      <c r="H239" s="167"/>
      <c r="I239" s="167"/>
      <c r="J239" s="167"/>
      <c r="K239" s="167"/>
    </row>
    <row r="240" spans="7:11">
      <c r="G240" s="167"/>
      <c r="H240" s="167"/>
      <c r="I240" s="167"/>
      <c r="J240" s="167"/>
      <c r="K240" s="167"/>
    </row>
    <row r="241" spans="7:11">
      <c r="G241" s="167"/>
      <c r="H241" s="167"/>
      <c r="I241" s="167"/>
      <c r="J241" s="167"/>
      <c r="K241" s="167"/>
    </row>
    <row r="242" spans="7:11">
      <c r="G242" s="167"/>
      <c r="H242" s="167"/>
      <c r="I242" s="167"/>
      <c r="J242" s="167"/>
      <c r="K242" s="167"/>
    </row>
    <row r="243" spans="7:11">
      <c r="G243" s="167"/>
      <c r="H243" s="167"/>
      <c r="I243" s="167"/>
      <c r="J243" s="167"/>
      <c r="K243" s="167"/>
    </row>
    <row r="244" spans="7:11">
      <c r="G244" s="167"/>
      <c r="H244" s="167"/>
      <c r="I244" s="167"/>
      <c r="J244" s="167"/>
      <c r="K244" s="167"/>
    </row>
    <row r="245" spans="7:11">
      <c r="G245" s="167"/>
      <c r="H245" s="167"/>
      <c r="I245" s="167"/>
      <c r="J245" s="167"/>
      <c r="K245" s="167"/>
    </row>
    <row r="246" spans="7:11">
      <c r="G246" s="167"/>
      <c r="H246" s="167"/>
      <c r="I246" s="167"/>
      <c r="J246" s="167"/>
      <c r="K246" s="167"/>
    </row>
    <row r="247" spans="7:11">
      <c r="G247" s="167"/>
      <c r="H247" s="167"/>
      <c r="I247" s="167"/>
      <c r="J247" s="167"/>
      <c r="K247" s="167"/>
    </row>
    <row r="248" spans="7:11">
      <c r="G248" s="167"/>
      <c r="H248" s="167"/>
      <c r="I248" s="167"/>
      <c r="J248" s="167"/>
      <c r="K248" s="167"/>
    </row>
    <row r="249" spans="7:11">
      <c r="G249" s="167"/>
      <c r="H249" s="167"/>
      <c r="I249" s="167"/>
      <c r="J249" s="167"/>
      <c r="K249" s="167"/>
    </row>
    <row r="250" spans="7:11">
      <c r="G250" s="167"/>
      <c r="H250" s="167"/>
      <c r="I250" s="167"/>
      <c r="J250" s="167"/>
      <c r="K250" s="167"/>
    </row>
    <row r="251" spans="7:11">
      <c r="G251" s="167"/>
      <c r="H251" s="167"/>
      <c r="I251" s="167"/>
      <c r="J251" s="167"/>
      <c r="K251" s="167"/>
    </row>
    <row r="252" spans="7:11">
      <c r="G252" s="167"/>
      <c r="H252" s="167"/>
      <c r="I252" s="167"/>
      <c r="J252" s="167"/>
      <c r="K252" s="167"/>
    </row>
    <row r="253" spans="7:11">
      <c r="G253" s="167"/>
      <c r="H253" s="167"/>
      <c r="I253" s="167"/>
      <c r="J253" s="167"/>
      <c r="K253" s="167"/>
    </row>
    <row r="254" spans="7:11">
      <c r="G254" s="167"/>
      <c r="H254" s="167"/>
      <c r="I254" s="167"/>
      <c r="J254" s="167"/>
      <c r="K254" s="167"/>
    </row>
    <row r="255" spans="7:11">
      <c r="G255" s="167"/>
      <c r="H255" s="167"/>
      <c r="I255" s="167"/>
      <c r="J255" s="167"/>
      <c r="K255" s="167"/>
    </row>
    <row r="256" spans="7:11">
      <c r="G256" s="167"/>
      <c r="H256" s="167"/>
      <c r="I256" s="167"/>
      <c r="J256" s="167"/>
      <c r="K256" s="167"/>
    </row>
    <row r="257" spans="7:11">
      <c r="G257" s="167"/>
      <c r="H257" s="167"/>
      <c r="I257" s="167"/>
      <c r="J257" s="167"/>
      <c r="K257" s="167"/>
    </row>
    <row r="258" spans="7:11">
      <c r="G258" s="167"/>
      <c r="H258" s="167"/>
      <c r="I258" s="167"/>
      <c r="J258" s="167"/>
      <c r="K258" s="167"/>
    </row>
    <row r="259" spans="7:11">
      <c r="G259" s="167"/>
      <c r="H259" s="167"/>
      <c r="I259" s="167"/>
      <c r="J259" s="167"/>
      <c r="K259" s="167"/>
    </row>
    <row r="260" spans="7:11">
      <c r="G260" s="167"/>
      <c r="H260" s="167"/>
      <c r="I260" s="167"/>
      <c r="J260" s="167"/>
      <c r="K260" s="167"/>
    </row>
    <row r="261" spans="7:11">
      <c r="G261" s="167"/>
      <c r="H261" s="167"/>
      <c r="I261" s="167"/>
      <c r="J261" s="167"/>
      <c r="K261" s="167"/>
    </row>
    <row r="262" spans="7:11">
      <c r="G262" s="167"/>
      <c r="H262" s="167"/>
      <c r="I262" s="167"/>
      <c r="J262" s="167"/>
      <c r="K262" s="167"/>
    </row>
    <row r="263" spans="7:11">
      <c r="G263" s="167"/>
      <c r="H263" s="167"/>
      <c r="I263" s="167"/>
      <c r="J263" s="167"/>
      <c r="K263" s="167"/>
    </row>
    <row r="264" spans="7:11">
      <c r="G264" s="167"/>
      <c r="H264" s="167"/>
      <c r="I264" s="167"/>
      <c r="J264" s="167"/>
      <c r="K264" s="167"/>
    </row>
    <row r="265" spans="7:11">
      <c r="G265" s="167"/>
      <c r="H265" s="167"/>
      <c r="I265" s="167"/>
      <c r="J265" s="167"/>
      <c r="K265" s="167"/>
    </row>
    <row r="266" spans="7:11">
      <c r="G266" s="167"/>
      <c r="H266" s="167"/>
      <c r="I266" s="167"/>
      <c r="J266" s="167"/>
      <c r="K266" s="167"/>
    </row>
    <row r="267" spans="7:11">
      <c r="G267" s="167"/>
      <c r="H267" s="167"/>
      <c r="I267" s="167"/>
      <c r="J267" s="167"/>
      <c r="K267" s="167"/>
    </row>
    <row r="268" spans="7:11">
      <c r="G268" s="167"/>
      <c r="H268" s="167"/>
      <c r="I268" s="167"/>
      <c r="J268" s="167"/>
      <c r="K268" s="167"/>
    </row>
    <row r="269" spans="7:11">
      <c r="G269" s="167"/>
      <c r="H269" s="167"/>
      <c r="I269" s="167"/>
      <c r="J269" s="167"/>
      <c r="K269" s="167"/>
    </row>
    <row r="270" spans="7:11">
      <c r="G270" s="167"/>
      <c r="H270" s="167"/>
      <c r="I270" s="167"/>
      <c r="J270" s="167"/>
      <c r="K270" s="167"/>
    </row>
    <row r="271" spans="7:11">
      <c r="G271" s="167"/>
      <c r="H271" s="167"/>
      <c r="I271" s="167"/>
      <c r="J271" s="167"/>
      <c r="K271" s="167"/>
    </row>
    <row r="272" spans="7:11">
      <c r="G272" s="167"/>
      <c r="H272" s="167"/>
      <c r="I272" s="167"/>
      <c r="J272" s="167"/>
      <c r="K272" s="167"/>
    </row>
    <row r="273" spans="7:11">
      <c r="G273" s="167"/>
      <c r="H273" s="167"/>
      <c r="I273" s="167"/>
      <c r="J273" s="167"/>
      <c r="K273" s="167"/>
    </row>
    <row r="274" spans="7:11">
      <c r="G274" s="167"/>
      <c r="H274" s="167"/>
      <c r="I274" s="167"/>
      <c r="J274" s="167"/>
      <c r="K274" s="167"/>
    </row>
    <row r="275" spans="7:11">
      <c r="G275" s="167"/>
      <c r="H275" s="167"/>
      <c r="I275" s="167"/>
      <c r="J275" s="167"/>
      <c r="K275" s="167"/>
    </row>
    <row r="276" spans="7:11">
      <c r="G276" s="167"/>
      <c r="H276" s="167"/>
      <c r="I276" s="167"/>
      <c r="J276" s="167"/>
      <c r="K276" s="167"/>
    </row>
    <row r="277" spans="7:11">
      <c r="G277" s="167"/>
      <c r="H277" s="167"/>
      <c r="I277" s="167"/>
      <c r="J277" s="167"/>
      <c r="K277" s="167"/>
    </row>
    <row r="278" spans="7:11">
      <c r="G278" s="167"/>
      <c r="H278" s="167"/>
      <c r="I278" s="167"/>
      <c r="J278" s="167"/>
      <c r="K278" s="167"/>
    </row>
    <row r="279" spans="7:11">
      <c r="G279" s="167"/>
      <c r="H279" s="167"/>
      <c r="I279" s="167"/>
      <c r="J279" s="167"/>
      <c r="K279" s="167"/>
    </row>
    <row r="280" spans="7:11">
      <c r="G280" s="167"/>
      <c r="H280" s="167"/>
      <c r="I280" s="167"/>
      <c r="J280" s="167"/>
      <c r="K280" s="167"/>
    </row>
    <row r="281" spans="7:11">
      <c r="G281" s="167"/>
      <c r="H281" s="167"/>
      <c r="I281" s="167"/>
      <c r="J281" s="167"/>
      <c r="K281" s="167"/>
    </row>
    <row r="282" spans="7:11">
      <c r="G282" s="167"/>
      <c r="H282" s="167"/>
      <c r="I282" s="167"/>
      <c r="J282" s="167"/>
      <c r="K282" s="167"/>
    </row>
    <row r="283" spans="7:11">
      <c r="G283" s="167"/>
      <c r="H283" s="167"/>
      <c r="I283" s="167"/>
      <c r="J283" s="167"/>
      <c r="K283" s="167"/>
    </row>
    <row r="284" spans="7:11">
      <c r="G284" s="167"/>
      <c r="H284" s="167"/>
      <c r="I284" s="167"/>
      <c r="J284" s="167"/>
      <c r="K284" s="167"/>
    </row>
    <row r="285" spans="7:11">
      <c r="G285" s="167"/>
      <c r="H285" s="167"/>
      <c r="I285" s="167"/>
      <c r="J285" s="167"/>
      <c r="K285" s="167"/>
    </row>
    <row r="286" spans="7:11">
      <c r="G286" s="167"/>
      <c r="H286" s="167"/>
      <c r="I286" s="167"/>
      <c r="J286" s="167"/>
      <c r="K286" s="167"/>
    </row>
    <row r="287" spans="7:11">
      <c r="G287" s="167"/>
      <c r="H287" s="167"/>
      <c r="I287" s="167"/>
      <c r="J287" s="167"/>
      <c r="K287" s="167"/>
    </row>
    <row r="288" spans="7:11">
      <c r="G288" s="167"/>
      <c r="H288" s="167"/>
      <c r="I288" s="167"/>
      <c r="J288" s="167"/>
      <c r="K288" s="167"/>
    </row>
    <row r="289" spans="7:11">
      <c r="G289" s="167"/>
      <c r="H289" s="167"/>
      <c r="I289" s="167"/>
      <c r="J289" s="167"/>
      <c r="K289" s="167"/>
    </row>
    <row r="290" spans="7:11">
      <c r="G290" s="167"/>
      <c r="H290" s="167"/>
      <c r="I290" s="167"/>
      <c r="J290" s="167"/>
      <c r="K290" s="167"/>
    </row>
    <row r="291" spans="7:11">
      <c r="G291" s="167"/>
      <c r="H291" s="167"/>
      <c r="I291" s="167"/>
      <c r="J291" s="167"/>
      <c r="K291" s="167"/>
    </row>
    <row r="292" spans="7:11">
      <c r="G292" s="167"/>
      <c r="H292" s="167"/>
      <c r="I292" s="167"/>
      <c r="J292" s="167"/>
      <c r="K292" s="167"/>
    </row>
    <row r="293" spans="7:11">
      <c r="G293" s="167"/>
      <c r="H293" s="167"/>
      <c r="I293" s="167"/>
      <c r="J293" s="167"/>
      <c r="K293" s="167"/>
    </row>
    <row r="294" spans="7:11">
      <c r="G294" s="167"/>
      <c r="H294" s="167"/>
      <c r="I294" s="167"/>
      <c r="J294" s="167"/>
      <c r="K294" s="167"/>
    </row>
    <row r="295" spans="7:11">
      <c r="G295" s="167"/>
      <c r="H295" s="167"/>
      <c r="I295" s="167"/>
      <c r="J295" s="167"/>
      <c r="K295" s="167"/>
    </row>
    <row r="296" spans="7:11">
      <c r="G296" s="167"/>
      <c r="H296" s="167"/>
      <c r="I296" s="167"/>
      <c r="J296" s="167"/>
      <c r="K296" s="167"/>
    </row>
    <row r="297" spans="7:11">
      <c r="G297" s="167"/>
      <c r="H297" s="167"/>
      <c r="I297" s="167"/>
      <c r="J297" s="167"/>
      <c r="K297" s="167"/>
    </row>
    <row r="298" spans="7:11">
      <c r="G298" s="167"/>
      <c r="H298" s="167"/>
      <c r="I298" s="167"/>
      <c r="J298" s="167"/>
      <c r="K298" s="167"/>
    </row>
    <row r="299" spans="7:11">
      <c r="G299" s="167"/>
      <c r="H299" s="167"/>
      <c r="I299" s="167"/>
      <c r="J299" s="167"/>
      <c r="K299" s="167"/>
    </row>
    <row r="300" spans="7:11">
      <c r="G300" s="167"/>
      <c r="H300" s="167"/>
      <c r="I300" s="167"/>
      <c r="J300" s="167"/>
      <c r="K300" s="167"/>
    </row>
    <row r="301" spans="7:11">
      <c r="G301" s="167"/>
      <c r="H301" s="167"/>
      <c r="I301" s="167"/>
      <c r="J301" s="167"/>
      <c r="K301" s="167"/>
    </row>
    <row r="302" spans="7:11">
      <c r="G302" s="167"/>
      <c r="H302" s="167"/>
      <c r="I302" s="167"/>
      <c r="J302" s="167"/>
      <c r="K302" s="167"/>
    </row>
    <row r="303" spans="7:11">
      <c r="G303" s="167"/>
      <c r="H303" s="167"/>
      <c r="I303" s="167"/>
      <c r="J303" s="167"/>
      <c r="K303" s="167"/>
    </row>
    <row r="304" spans="7:11">
      <c r="G304" s="167"/>
      <c r="H304" s="167"/>
      <c r="I304" s="167"/>
      <c r="J304" s="167"/>
      <c r="K304" s="167"/>
    </row>
    <row r="305" spans="7:11">
      <c r="G305" s="167"/>
      <c r="H305" s="167"/>
      <c r="I305" s="167"/>
      <c r="J305" s="167"/>
      <c r="K305" s="167"/>
    </row>
    <row r="306" spans="7:11">
      <c r="G306" s="167"/>
      <c r="H306" s="167"/>
      <c r="I306" s="167"/>
      <c r="J306" s="167"/>
      <c r="K306" s="167"/>
    </row>
    <row r="307" spans="7:11">
      <c r="G307" s="167"/>
      <c r="H307" s="167"/>
      <c r="I307" s="167"/>
      <c r="J307" s="167"/>
      <c r="K307" s="167"/>
    </row>
    <row r="308" spans="7:11">
      <c r="G308" s="167"/>
      <c r="H308" s="167"/>
      <c r="I308" s="167"/>
      <c r="J308" s="167"/>
      <c r="K308" s="167"/>
    </row>
    <row r="309" spans="7:11">
      <c r="G309" s="167"/>
      <c r="H309" s="167"/>
      <c r="I309" s="167"/>
      <c r="J309" s="167"/>
      <c r="K309" s="167"/>
    </row>
    <row r="310" spans="7:11">
      <c r="G310" s="167"/>
      <c r="H310" s="167"/>
      <c r="I310" s="167"/>
      <c r="J310" s="167"/>
      <c r="K310" s="167"/>
    </row>
    <row r="311" spans="7:11">
      <c r="G311" s="167"/>
      <c r="H311" s="167"/>
      <c r="I311" s="167"/>
      <c r="J311" s="167"/>
      <c r="K311" s="167"/>
    </row>
    <row r="312" spans="7:11">
      <c r="G312" s="167"/>
      <c r="H312" s="167"/>
      <c r="I312" s="167"/>
      <c r="J312" s="167"/>
      <c r="K312" s="167"/>
    </row>
    <row r="313" spans="7:11">
      <c r="G313" s="167"/>
      <c r="H313" s="167"/>
      <c r="I313" s="167"/>
      <c r="J313" s="167"/>
      <c r="K313" s="167"/>
    </row>
    <row r="314" spans="7:11">
      <c r="G314" s="167"/>
      <c r="H314" s="167"/>
      <c r="I314" s="167"/>
      <c r="J314" s="167"/>
      <c r="K314" s="167"/>
    </row>
    <row r="315" spans="7:11">
      <c r="G315" s="167"/>
      <c r="H315" s="167"/>
      <c r="I315" s="167"/>
      <c r="J315" s="167"/>
      <c r="K315" s="167"/>
    </row>
    <row r="316" spans="7:11">
      <c r="G316" s="167"/>
      <c r="H316" s="167"/>
      <c r="I316" s="167"/>
      <c r="J316" s="167"/>
      <c r="K316" s="167"/>
    </row>
    <row r="317" spans="7:11">
      <c r="G317" s="167"/>
      <c r="H317" s="167"/>
      <c r="I317" s="167"/>
      <c r="J317" s="167"/>
      <c r="K317" s="167"/>
    </row>
    <row r="318" spans="7:11">
      <c r="G318" s="167"/>
      <c r="H318" s="167"/>
      <c r="I318" s="167"/>
      <c r="J318" s="167"/>
      <c r="K318" s="167"/>
    </row>
    <row r="319" spans="7:11">
      <c r="G319" s="167"/>
      <c r="H319" s="167"/>
      <c r="I319" s="167"/>
      <c r="J319" s="167"/>
      <c r="K319" s="167"/>
    </row>
    <row r="320" spans="7:11">
      <c r="G320" s="167"/>
      <c r="H320" s="167"/>
      <c r="I320" s="167"/>
      <c r="J320" s="167"/>
      <c r="K320" s="167"/>
    </row>
    <row r="321" spans="7:11">
      <c r="G321" s="167"/>
      <c r="H321" s="167"/>
      <c r="I321" s="167"/>
      <c r="J321" s="167"/>
      <c r="K321" s="167"/>
    </row>
    <row r="322" spans="7:11">
      <c r="G322" s="167"/>
      <c r="H322" s="167"/>
      <c r="I322" s="167"/>
      <c r="J322" s="167"/>
      <c r="K322" s="167"/>
    </row>
    <row r="323" spans="7:11">
      <c r="G323" s="167"/>
      <c r="H323" s="167"/>
      <c r="I323" s="167"/>
      <c r="J323" s="167"/>
      <c r="K323" s="167"/>
    </row>
    <row r="324" spans="7:11">
      <c r="G324" s="167"/>
      <c r="H324" s="167"/>
      <c r="I324" s="167"/>
      <c r="J324" s="167"/>
      <c r="K324" s="167"/>
    </row>
    <row r="325" spans="7:11">
      <c r="G325" s="167"/>
      <c r="H325" s="167"/>
      <c r="I325" s="167"/>
      <c r="J325" s="167"/>
      <c r="K325" s="167"/>
    </row>
    <row r="326" spans="7:11">
      <c r="G326" s="167"/>
      <c r="H326" s="167"/>
      <c r="I326" s="167"/>
      <c r="J326" s="167"/>
      <c r="K326" s="167"/>
    </row>
    <row r="327" spans="7:11">
      <c r="G327" s="167"/>
      <c r="H327" s="167"/>
      <c r="I327" s="167"/>
      <c r="J327" s="167"/>
      <c r="K327" s="167"/>
    </row>
    <row r="328" spans="7:11">
      <c r="G328" s="167"/>
      <c r="H328" s="167"/>
      <c r="I328" s="167"/>
      <c r="J328" s="167"/>
      <c r="K328" s="167"/>
    </row>
    <row r="329" spans="7:11">
      <c r="G329" s="167"/>
      <c r="H329" s="167"/>
      <c r="I329" s="167"/>
      <c r="J329" s="167"/>
      <c r="K329" s="167"/>
    </row>
    <row r="330" spans="7:11">
      <c r="G330" s="167"/>
      <c r="H330" s="167"/>
      <c r="I330" s="167"/>
      <c r="J330" s="167"/>
      <c r="K330" s="167"/>
    </row>
    <row r="331" spans="7:11">
      <c r="G331" s="167"/>
      <c r="H331" s="167"/>
      <c r="I331" s="167"/>
      <c r="J331" s="167"/>
      <c r="K331" s="167"/>
    </row>
    <row r="332" spans="7:11">
      <c r="G332" s="167"/>
      <c r="H332" s="167"/>
      <c r="I332" s="167"/>
      <c r="J332" s="167"/>
      <c r="K332" s="167"/>
    </row>
    <row r="333" spans="7:11">
      <c r="G333" s="167"/>
      <c r="H333" s="167"/>
      <c r="I333" s="167"/>
      <c r="J333" s="167"/>
      <c r="K333" s="167"/>
    </row>
    <row r="334" spans="7:11">
      <c r="G334" s="167"/>
      <c r="H334" s="167"/>
      <c r="I334" s="167"/>
      <c r="J334" s="167"/>
      <c r="K334" s="167"/>
    </row>
    <row r="335" spans="7:11">
      <c r="G335" s="167"/>
      <c r="H335" s="167"/>
      <c r="I335" s="167"/>
      <c r="J335" s="167"/>
      <c r="K335" s="167"/>
    </row>
    <row r="336" spans="7:11">
      <c r="G336" s="167"/>
      <c r="H336" s="167"/>
      <c r="I336" s="167"/>
      <c r="J336" s="167"/>
      <c r="K336" s="167"/>
    </row>
    <row r="337" spans="7:11">
      <c r="G337" s="167"/>
      <c r="H337" s="167"/>
      <c r="I337" s="167"/>
      <c r="J337" s="167"/>
      <c r="K337" s="167"/>
    </row>
    <row r="338" spans="7:11">
      <c r="G338" s="167"/>
      <c r="H338" s="167"/>
      <c r="I338" s="167"/>
      <c r="J338" s="167"/>
      <c r="K338" s="167"/>
    </row>
    <row r="339" spans="7:11">
      <c r="G339" s="167"/>
      <c r="H339" s="167"/>
      <c r="I339" s="167"/>
      <c r="J339" s="167"/>
      <c r="K339" s="167"/>
    </row>
    <row r="340" spans="7:11">
      <c r="G340" s="167"/>
      <c r="H340" s="167"/>
      <c r="I340" s="167"/>
      <c r="J340" s="167"/>
      <c r="K340" s="167"/>
    </row>
    <row r="341" spans="7:11">
      <c r="G341" s="167"/>
      <c r="H341" s="167"/>
      <c r="I341" s="167"/>
      <c r="J341" s="167"/>
      <c r="K341" s="167"/>
    </row>
    <row r="342" spans="7:11">
      <c r="G342" s="167"/>
      <c r="H342" s="167"/>
      <c r="I342" s="167"/>
      <c r="J342" s="167"/>
      <c r="K342" s="167"/>
    </row>
    <row r="343" spans="7:11">
      <c r="G343" s="167"/>
      <c r="H343" s="167"/>
      <c r="I343" s="167"/>
      <c r="J343" s="167"/>
      <c r="K343" s="167"/>
    </row>
    <row r="344" spans="7:11">
      <c r="G344" s="167"/>
      <c r="H344" s="167"/>
      <c r="I344" s="167"/>
      <c r="J344" s="167"/>
      <c r="K344" s="167"/>
    </row>
    <row r="345" spans="7:11">
      <c r="G345" s="167"/>
      <c r="H345" s="167"/>
      <c r="I345" s="167"/>
      <c r="J345" s="167"/>
      <c r="K345" s="167"/>
    </row>
    <row r="346" spans="7:11">
      <c r="G346" s="167"/>
      <c r="H346" s="167"/>
      <c r="I346" s="167"/>
      <c r="J346" s="167"/>
      <c r="K346" s="167"/>
    </row>
    <row r="347" spans="7:11">
      <c r="G347" s="167"/>
      <c r="H347" s="167"/>
      <c r="I347" s="167"/>
      <c r="J347" s="167"/>
      <c r="K347" s="167"/>
    </row>
    <row r="348" spans="7:11">
      <c r="G348" s="167"/>
      <c r="H348" s="167"/>
      <c r="I348" s="167"/>
      <c r="J348" s="167"/>
      <c r="K348" s="167"/>
    </row>
    <row r="349" spans="7:11">
      <c r="G349" s="167"/>
      <c r="H349" s="167"/>
      <c r="I349" s="167"/>
      <c r="J349" s="167"/>
      <c r="K349" s="167"/>
    </row>
    <row r="350" spans="7:11">
      <c r="G350" s="167"/>
      <c r="H350" s="167"/>
      <c r="I350" s="167"/>
      <c r="J350" s="167"/>
      <c r="K350" s="167"/>
    </row>
    <row r="351" spans="7:11">
      <c r="G351" s="167"/>
      <c r="H351" s="167"/>
      <c r="I351" s="167"/>
      <c r="J351" s="167"/>
      <c r="K351" s="167"/>
    </row>
    <row r="352" spans="7:11">
      <c r="G352" s="167"/>
      <c r="H352" s="167"/>
      <c r="I352" s="167"/>
      <c r="J352" s="167"/>
      <c r="K352" s="167"/>
    </row>
    <row r="353" spans="7:11">
      <c r="G353" s="167"/>
      <c r="H353" s="167"/>
      <c r="I353" s="167"/>
      <c r="J353" s="167"/>
      <c r="K353" s="167"/>
    </row>
    <row r="354" spans="7:11">
      <c r="G354" s="167"/>
      <c r="H354" s="167"/>
      <c r="I354" s="167"/>
      <c r="J354" s="167"/>
      <c r="K354" s="167"/>
    </row>
    <row r="355" spans="7:11">
      <c r="G355" s="167"/>
      <c r="H355" s="167"/>
      <c r="I355" s="167"/>
      <c r="J355" s="167"/>
      <c r="K355" s="167"/>
    </row>
    <row r="356" spans="7:11">
      <c r="G356" s="167"/>
      <c r="H356" s="167"/>
      <c r="I356" s="167"/>
      <c r="J356" s="167"/>
      <c r="K356" s="167"/>
    </row>
    <row r="357" spans="7:11">
      <c r="G357" s="167"/>
      <c r="H357" s="167"/>
      <c r="I357" s="167"/>
      <c r="J357" s="167"/>
      <c r="K357" s="167"/>
    </row>
    <row r="358" spans="7:11">
      <c r="G358" s="167"/>
      <c r="H358" s="167"/>
      <c r="I358" s="167"/>
      <c r="J358" s="167"/>
      <c r="K358" s="167"/>
    </row>
    <row r="359" spans="7:11">
      <c r="G359" s="167"/>
      <c r="H359" s="167"/>
      <c r="I359" s="167"/>
      <c r="J359" s="167"/>
      <c r="K359" s="167"/>
    </row>
    <row r="360" spans="7:11">
      <c r="G360" s="167"/>
      <c r="H360" s="167"/>
      <c r="I360" s="167"/>
      <c r="J360" s="167"/>
      <c r="K360" s="167"/>
    </row>
    <row r="361" spans="7:11">
      <c r="G361" s="167"/>
      <c r="H361" s="167"/>
      <c r="I361" s="167"/>
      <c r="J361" s="167"/>
      <c r="K361" s="167"/>
    </row>
    <row r="362" spans="7:11">
      <c r="G362" s="167"/>
      <c r="H362" s="167"/>
      <c r="I362" s="167"/>
      <c r="J362" s="167"/>
      <c r="K362" s="167"/>
    </row>
    <row r="363" spans="7:11">
      <c r="G363" s="167"/>
      <c r="H363" s="167"/>
      <c r="I363" s="167"/>
      <c r="J363" s="167"/>
      <c r="K363" s="167"/>
    </row>
    <row r="364" spans="7:11">
      <c r="G364" s="167"/>
      <c r="H364" s="167"/>
      <c r="I364" s="167"/>
      <c r="J364" s="167"/>
      <c r="K364" s="167"/>
    </row>
    <row r="365" spans="7:11">
      <c r="G365" s="167"/>
      <c r="H365" s="167"/>
      <c r="I365" s="167"/>
      <c r="J365" s="167"/>
      <c r="K365" s="167"/>
    </row>
    <row r="366" spans="7:11">
      <c r="G366" s="167"/>
      <c r="H366" s="167"/>
      <c r="I366" s="167"/>
      <c r="J366" s="167"/>
      <c r="K366" s="167"/>
    </row>
    <row r="367" spans="7:11">
      <c r="G367" s="167"/>
      <c r="H367" s="167"/>
      <c r="I367" s="167"/>
      <c r="J367" s="167"/>
      <c r="K367" s="167"/>
    </row>
    <row r="368" spans="7:11">
      <c r="G368" s="167"/>
      <c r="H368" s="167"/>
      <c r="I368" s="167"/>
      <c r="J368" s="167"/>
      <c r="K368" s="167"/>
    </row>
    <row r="369" spans="7:11">
      <c r="G369" s="167"/>
      <c r="H369" s="167"/>
      <c r="I369" s="167"/>
      <c r="J369" s="167"/>
      <c r="K369" s="167"/>
    </row>
    <row r="370" spans="7:11">
      <c r="G370" s="167"/>
      <c r="H370" s="167"/>
      <c r="I370" s="167"/>
      <c r="J370" s="167"/>
      <c r="K370" s="167"/>
    </row>
    <row r="371" spans="7:11">
      <c r="G371" s="167"/>
      <c r="H371" s="167"/>
      <c r="I371" s="167"/>
      <c r="J371" s="167"/>
      <c r="K371" s="167"/>
    </row>
    <row r="372" spans="7:11">
      <c r="G372" s="167"/>
      <c r="H372" s="167"/>
      <c r="I372" s="167"/>
      <c r="J372" s="167"/>
      <c r="K372" s="167"/>
    </row>
    <row r="373" spans="7:11">
      <c r="G373" s="167"/>
      <c r="H373" s="167"/>
      <c r="I373" s="167"/>
      <c r="J373" s="167"/>
      <c r="K373" s="167"/>
    </row>
    <row r="374" spans="7:11">
      <c r="G374" s="167"/>
      <c r="H374" s="167"/>
      <c r="I374" s="167"/>
      <c r="J374" s="167"/>
      <c r="K374" s="167"/>
    </row>
    <row r="375" spans="7:11">
      <c r="G375" s="167"/>
      <c r="H375" s="167"/>
      <c r="I375" s="167"/>
      <c r="J375" s="167"/>
      <c r="K375" s="167"/>
    </row>
    <row r="376" spans="7:11">
      <c r="G376" s="167"/>
      <c r="H376" s="167"/>
      <c r="I376" s="167"/>
      <c r="J376" s="167"/>
      <c r="K376" s="167"/>
    </row>
    <row r="377" spans="7:11">
      <c r="G377" s="167"/>
      <c r="H377" s="167"/>
      <c r="I377" s="167"/>
      <c r="J377" s="167"/>
      <c r="K377" s="167"/>
    </row>
    <row r="378" spans="7:11">
      <c r="G378" s="167"/>
      <c r="H378" s="167"/>
      <c r="I378" s="167"/>
      <c r="J378" s="167"/>
      <c r="K378" s="167"/>
    </row>
    <row r="379" spans="7:11">
      <c r="G379" s="167"/>
      <c r="H379" s="167"/>
      <c r="I379" s="167"/>
      <c r="J379" s="167"/>
      <c r="K379" s="167"/>
    </row>
    <row r="380" spans="7:11">
      <c r="G380" s="167"/>
      <c r="H380" s="167"/>
      <c r="I380" s="167"/>
      <c r="J380" s="167"/>
      <c r="K380" s="167"/>
    </row>
    <row r="381" spans="7:11">
      <c r="G381" s="167"/>
      <c r="H381" s="167"/>
      <c r="I381" s="167"/>
      <c r="J381" s="167"/>
      <c r="K381" s="167"/>
    </row>
    <row r="382" spans="7:11">
      <c r="G382" s="167"/>
      <c r="H382" s="167"/>
      <c r="I382" s="167"/>
      <c r="J382" s="167"/>
      <c r="K382" s="167"/>
    </row>
    <row r="383" spans="7:11">
      <c r="G383" s="167"/>
      <c r="H383" s="167"/>
      <c r="I383" s="167"/>
      <c r="J383" s="167"/>
      <c r="K383" s="167"/>
    </row>
    <row r="384" spans="7:11">
      <c r="G384" s="167"/>
      <c r="H384" s="167"/>
      <c r="I384" s="167"/>
      <c r="J384" s="167"/>
      <c r="K384" s="167"/>
    </row>
    <row r="385" spans="7:11">
      <c r="G385" s="167"/>
      <c r="H385" s="167"/>
      <c r="I385" s="167"/>
      <c r="J385" s="167"/>
      <c r="K385" s="167"/>
    </row>
    <row r="386" spans="7:11">
      <c r="G386" s="167"/>
      <c r="H386" s="167"/>
      <c r="I386" s="167"/>
      <c r="J386" s="167"/>
      <c r="K386" s="167"/>
    </row>
    <row r="387" spans="7:11">
      <c r="G387" s="167"/>
      <c r="H387" s="167"/>
      <c r="I387" s="167"/>
      <c r="J387" s="167"/>
      <c r="K387" s="167"/>
    </row>
    <row r="388" spans="7:11">
      <c r="G388" s="167"/>
      <c r="H388" s="167"/>
      <c r="I388" s="167"/>
      <c r="J388" s="167"/>
      <c r="K388" s="167"/>
    </row>
    <row r="389" spans="7:11">
      <c r="G389" s="167"/>
      <c r="H389" s="167"/>
      <c r="I389" s="167"/>
      <c r="J389" s="167"/>
      <c r="K389" s="167"/>
    </row>
    <row r="390" spans="7:11">
      <c r="G390" s="167"/>
      <c r="H390" s="167"/>
      <c r="I390" s="167"/>
      <c r="J390" s="167"/>
      <c r="K390" s="167"/>
    </row>
    <row r="391" spans="7:11">
      <c r="G391" s="167"/>
      <c r="H391" s="167"/>
      <c r="I391" s="167"/>
      <c r="J391" s="167"/>
      <c r="K391" s="167"/>
    </row>
    <row r="392" spans="7:11">
      <c r="G392" s="167"/>
      <c r="H392" s="167"/>
      <c r="I392" s="167"/>
      <c r="J392" s="167"/>
      <c r="K392" s="167"/>
    </row>
    <row r="393" spans="7:11">
      <c r="G393" s="167"/>
      <c r="H393" s="167"/>
      <c r="I393" s="167"/>
      <c r="J393" s="167"/>
      <c r="K393" s="167"/>
    </row>
    <row r="394" spans="7:11">
      <c r="G394" s="167"/>
      <c r="H394" s="167"/>
      <c r="I394" s="167"/>
      <c r="J394" s="167"/>
      <c r="K394" s="167"/>
    </row>
    <row r="395" spans="7:11">
      <c r="G395" s="167"/>
      <c r="H395" s="167"/>
      <c r="I395" s="167"/>
      <c r="J395" s="167"/>
      <c r="K395" s="167"/>
    </row>
    <row r="396" spans="7:11">
      <c r="G396" s="167"/>
      <c r="H396" s="167"/>
      <c r="I396" s="167"/>
      <c r="J396" s="167"/>
      <c r="K396" s="167"/>
    </row>
    <row r="397" spans="7:11">
      <c r="G397" s="167"/>
      <c r="H397" s="167"/>
      <c r="I397" s="167"/>
      <c r="J397" s="167"/>
      <c r="K397" s="167"/>
    </row>
    <row r="398" spans="7:11">
      <c r="G398" s="167"/>
      <c r="H398" s="167"/>
      <c r="I398" s="167"/>
      <c r="J398" s="167"/>
      <c r="K398" s="167"/>
    </row>
    <row r="399" spans="7:11">
      <c r="G399" s="167"/>
      <c r="H399" s="167"/>
      <c r="I399" s="167"/>
      <c r="J399" s="167"/>
      <c r="K399" s="167"/>
    </row>
    <row r="400" spans="7:11">
      <c r="G400" s="167"/>
      <c r="H400" s="167"/>
      <c r="I400" s="167"/>
      <c r="J400" s="167"/>
      <c r="K400" s="167"/>
    </row>
    <row r="401" spans="7:11">
      <c r="G401" s="167"/>
      <c r="H401" s="167"/>
      <c r="I401" s="167"/>
      <c r="J401" s="167"/>
      <c r="K401" s="167"/>
    </row>
    <row r="402" spans="7:11">
      <c r="G402" s="167"/>
      <c r="H402" s="167"/>
      <c r="I402" s="167"/>
      <c r="J402" s="167"/>
      <c r="K402" s="167"/>
    </row>
    <row r="403" spans="7:11">
      <c r="G403" s="167"/>
      <c r="H403" s="167"/>
      <c r="I403" s="167"/>
      <c r="J403" s="167"/>
      <c r="K403" s="167"/>
    </row>
    <row r="404" spans="7:11">
      <c r="G404" s="167"/>
      <c r="H404" s="167"/>
      <c r="I404" s="167"/>
      <c r="J404" s="167"/>
      <c r="K404" s="167"/>
    </row>
    <row r="405" spans="7:11">
      <c r="G405" s="167"/>
      <c r="H405" s="167"/>
      <c r="I405" s="167"/>
      <c r="J405" s="167"/>
      <c r="K405" s="167"/>
    </row>
    <row r="406" spans="7:11">
      <c r="G406" s="167"/>
      <c r="H406" s="167"/>
      <c r="I406" s="167"/>
      <c r="J406" s="167"/>
      <c r="K406" s="167"/>
    </row>
    <row r="407" spans="7:11">
      <c r="G407" s="167"/>
      <c r="H407" s="167"/>
      <c r="I407" s="167"/>
      <c r="J407" s="167"/>
      <c r="K407" s="167"/>
    </row>
    <row r="408" spans="7:11">
      <c r="G408" s="167"/>
      <c r="H408" s="167"/>
      <c r="I408" s="167"/>
      <c r="J408" s="167"/>
      <c r="K408" s="167"/>
    </row>
    <row r="409" spans="7:11">
      <c r="G409" s="167"/>
      <c r="H409" s="167"/>
      <c r="I409" s="167"/>
      <c r="J409" s="167"/>
      <c r="K409" s="167"/>
    </row>
    <row r="410" spans="7:11">
      <c r="G410" s="167"/>
      <c r="H410" s="167"/>
      <c r="I410" s="167"/>
      <c r="J410" s="167"/>
      <c r="K410" s="167"/>
    </row>
    <row r="411" spans="7:11">
      <c r="G411" s="167"/>
      <c r="H411" s="167"/>
      <c r="I411" s="167"/>
      <c r="J411" s="167"/>
      <c r="K411" s="167"/>
    </row>
    <row r="412" spans="7:11">
      <c r="G412" s="167"/>
      <c r="H412" s="167"/>
      <c r="I412" s="167"/>
      <c r="J412" s="167"/>
      <c r="K412" s="167"/>
    </row>
    <row r="413" spans="7:11">
      <c r="G413" s="167"/>
      <c r="H413" s="167"/>
      <c r="I413" s="167"/>
      <c r="J413" s="167"/>
      <c r="K413" s="167"/>
    </row>
    <row r="414" spans="7:11">
      <c r="G414" s="167"/>
      <c r="H414" s="167"/>
      <c r="I414" s="167"/>
      <c r="J414" s="167"/>
      <c r="K414" s="167"/>
    </row>
    <row r="415" spans="7:11">
      <c r="G415" s="167"/>
      <c r="H415" s="167"/>
      <c r="I415" s="167"/>
      <c r="J415" s="167"/>
      <c r="K415" s="167"/>
    </row>
    <row r="416" spans="7:11">
      <c r="G416" s="167"/>
      <c r="H416" s="167"/>
      <c r="I416" s="167"/>
      <c r="J416" s="167"/>
      <c r="K416" s="167"/>
    </row>
    <row r="417" spans="7:11">
      <c r="G417" s="167"/>
      <c r="H417" s="167"/>
      <c r="I417" s="167"/>
      <c r="J417" s="167"/>
      <c r="K417" s="167"/>
    </row>
    <row r="418" spans="7:11">
      <c r="G418" s="167"/>
      <c r="H418" s="167"/>
      <c r="I418" s="167"/>
      <c r="J418" s="167"/>
      <c r="K418" s="167"/>
    </row>
    <row r="419" spans="7:11">
      <c r="G419" s="167"/>
      <c r="H419" s="167"/>
      <c r="I419" s="167"/>
      <c r="J419" s="167"/>
      <c r="K419" s="167"/>
    </row>
    <row r="420" spans="7:11">
      <c r="G420" s="167"/>
      <c r="H420" s="167"/>
      <c r="I420" s="167"/>
      <c r="J420" s="167"/>
      <c r="K420" s="167"/>
    </row>
    <row r="421" spans="7:11">
      <c r="G421" s="167"/>
      <c r="H421" s="167"/>
      <c r="I421" s="167"/>
      <c r="J421" s="167"/>
      <c r="K421" s="167"/>
    </row>
    <row r="422" spans="7:11">
      <c r="G422" s="167"/>
      <c r="H422" s="167"/>
      <c r="I422" s="167"/>
      <c r="J422" s="167"/>
      <c r="K422" s="167"/>
    </row>
    <row r="423" spans="7:11">
      <c r="G423" s="167"/>
      <c r="H423" s="167"/>
      <c r="I423" s="167"/>
      <c r="J423" s="167"/>
      <c r="K423" s="167"/>
    </row>
    <row r="424" spans="7:11">
      <c r="G424" s="167"/>
      <c r="H424" s="167"/>
      <c r="I424" s="167"/>
      <c r="J424" s="167"/>
      <c r="K424" s="167"/>
    </row>
    <row r="425" spans="7:11">
      <c r="G425" s="167"/>
      <c r="H425" s="167"/>
      <c r="I425" s="167"/>
      <c r="J425" s="167"/>
      <c r="K425" s="167"/>
    </row>
    <row r="426" spans="7:11">
      <c r="G426" s="167"/>
      <c r="H426" s="167"/>
      <c r="I426" s="167"/>
      <c r="J426" s="167"/>
      <c r="K426" s="167"/>
    </row>
    <row r="427" spans="7:11">
      <c r="G427" s="167"/>
      <c r="H427" s="167"/>
      <c r="I427" s="167"/>
      <c r="J427" s="167"/>
      <c r="K427" s="167"/>
    </row>
    <row r="428" spans="7:11">
      <c r="G428" s="167"/>
      <c r="H428" s="167"/>
      <c r="I428" s="167"/>
      <c r="J428" s="167"/>
      <c r="K428" s="167"/>
    </row>
    <row r="429" spans="7:11">
      <c r="G429" s="167"/>
      <c r="H429" s="167"/>
      <c r="I429" s="167"/>
      <c r="J429" s="167"/>
      <c r="K429" s="167"/>
    </row>
    <row r="430" spans="7:11">
      <c r="G430" s="167"/>
      <c r="H430" s="167"/>
      <c r="I430" s="167"/>
      <c r="J430" s="167"/>
      <c r="K430" s="167"/>
    </row>
    <row r="431" spans="7:11">
      <c r="G431" s="167"/>
      <c r="H431" s="167"/>
      <c r="I431" s="167"/>
      <c r="J431" s="167"/>
      <c r="K431" s="167"/>
    </row>
    <row r="432" spans="7:11">
      <c r="G432" s="167"/>
      <c r="H432" s="167"/>
      <c r="I432" s="167"/>
      <c r="J432" s="167"/>
      <c r="K432" s="167"/>
    </row>
    <row r="433" spans="7:11">
      <c r="G433" s="167"/>
      <c r="H433" s="167"/>
      <c r="I433" s="167"/>
      <c r="J433" s="167"/>
      <c r="K433" s="167"/>
    </row>
    <row r="434" spans="7:11">
      <c r="G434" s="167"/>
      <c r="H434" s="167"/>
      <c r="I434" s="167"/>
      <c r="J434" s="167"/>
      <c r="K434" s="167"/>
    </row>
    <row r="435" spans="7:11">
      <c r="G435" s="167"/>
      <c r="H435" s="167"/>
      <c r="I435" s="167"/>
      <c r="J435" s="167"/>
      <c r="K435" s="167"/>
    </row>
    <row r="436" spans="7:11">
      <c r="G436" s="167"/>
      <c r="H436" s="167"/>
      <c r="I436" s="167"/>
      <c r="J436" s="167"/>
      <c r="K436" s="167"/>
    </row>
    <row r="437" spans="7:11">
      <c r="G437" s="167"/>
      <c r="H437" s="167"/>
      <c r="I437" s="167"/>
      <c r="J437" s="167"/>
      <c r="K437" s="167"/>
    </row>
    <row r="438" spans="7:11">
      <c r="G438" s="167"/>
      <c r="H438" s="167"/>
      <c r="I438" s="167"/>
      <c r="J438" s="167"/>
      <c r="K438" s="167"/>
    </row>
    <row r="439" spans="7:11">
      <c r="G439" s="167"/>
      <c r="H439" s="167"/>
      <c r="I439" s="167"/>
      <c r="J439" s="167"/>
      <c r="K439" s="167"/>
    </row>
    <row r="440" spans="7:11">
      <c r="G440" s="167"/>
      <c r="H440" s="167"/>
      <c r="I440" s="167"/>
      <c r="J440" s="167"/>
      <c r="K440" s="167"/>
    </row>
    <row r="441" spans="7:11">
      <c r="G441" s="167"/>
      <c r="H441" s="167"/>
      <c r="I441" s="167"/>
      <c r="J441" s="167"/>
      <c r="K441" s="167"/>
    </row>
    <row r="442" spans="7:11">
      <c r="G442" s="167"/>
      <c r="H442" s="167"/>
      <c r="I442" s="167"/>
      <c r="J442" s="167"/>
      <c r="K442" s="167"/>
    </row>
    <row r="443" spans="7:11">
      <c r="G443" s="167"/>
      <c r="H443" s="167"/>
      <c r="I443" s="167"/>
      <c r="J443" s="167"/>
      <c r="K443" s="167"/>
    </row>
    <row r="444" spans="7:11">
      <c r="G444" s="167"/>
      <c r="H444" s="167"/>
      <c r="I444" s="167"/>
      <c r="J444" s="167"/>
      <c r="K444" s="167"/>
    </row>
    <row r="445" spans="7:11">
      <c r="G445" s="167"/>
      <c r="H445" s="167"/>
      <c r="I445" s="167"/>
      <c r="J445" s="167"/>
      <c r="K445" s="167"/>
    </row>
    <row r="446" spans="7:11">
      <c r="G446" s="167"/>
      <c r="H446" s="167"/>
      <c r="I446" s="167"/>
      <c r="J446" s="167"/>
      <c r="K446" s="167"/>
    </row>
    <row r="447" spans="7:11">
      <c r="G447" s="167"/>
      <c r="H447" s="167"/>
      <c r="I447" s="167"/>
      <c r="J447" s="167"/>
      <c r="K447" s="167"/>
    </row>
    <row r="448" spans="7:11">
      <c r="G448" s="167"/>
      <c r="H448" s="167"/>
      <c r="I448" s="167"/>
      <c r="J448" s="167"/>
      <c r="K448" s="167"/>
    </row>
    <row r="449" spans="7:11">
      <c r="G449" s="167"/>
      <c r="H449" s="167"/>
      <c r="I449" s="167"/>
      <c r="J449" s="167"/>
      <c r="K449" s="167"/>
    </row>
    <row r="450" spans="7:11">
      <c r="G450" s="167"/>
      <c r="H450" s="167"/>
      <c r="I450" s="167"/>
      <c r="J450" s="167"/>
      <c r="K450" s="167"/>
    </row>
    <row r="451" spans="7:11">
      <c r="G451" s="167"/>
      <c r="H451" s="167"/>
      <c r="I451" s="167"/>
      <c r="J451" s="167"/>
      <c r="K451" s="167"/>
    </row>
    <row r="452" spans="7:11">
      <c r="G452" s="167"/>
      <c r="H452" s="167"/>
      <c r="I452" s="167"/>
      <c r="J452" s="167"/>
      <c r="K452" s="167"/>
    </row>
    <row r="453" spans="7:11">
      <c r="G453" s="167"/>
      <c r="H453" s="167"/>
      <c r="I453" s="167"/>
      <c r="J453" s="167"/>
      <c r="K453" s="167"/>
    </row>
    <row r="454" spans="7:11">
      <c r="G454" s="167"/>
      <c r="H454" s="167"/>
      <c r="I454" s="167"/>
      <c r="J454" s="167"/>
      <c r="K454" s="167"/>
    </row>
    <row r="455" spans="7:11">
      <c r="G455" s="167"/>
      <c r="H455" s="167"/>
      <c r="I455" s="167"/>
      <c r="J455" s="167"/>
      <c r="K455" s="167"/>
    </row>
    <row r="456" spans="7:11">
      <c r="G456" s="167"/>
      <c r="H456" s="167"/>
      <c r="I456" s="167"/>
      <c r="J456" s="167"/>
      <c r="K456" s="167"/>
    </row>
    <row r="457" spans="7:11">
      <c r="G457" s="167"/>
      <c r="H457" s="167"/>
      <c r="I457" s="167"/>
      <c r="J457" s="167"/>
      <c r="K457" s="167"/>
    </row>
    <row r="458" spans="7:11">
      <c r="G458" s="167"/>
      <c r="H458" s="167"/>
      <c r="I458" s="167"/>
      <c r="J458" s="167"/>
      <c r="K458" s="167"/>
    </row>
    <row r="459" spans="7:11">
      <c r="G459" s="167"/>
      <c r="H459" s="167"/>
      <c r="I459" s="167"/>
      <c r="J459" s="167"/>
      <c r="K459" s="167"/>
    </row>
    <row r="460" spans="7:11">
      <c r="G460" s="167"/>
      <c r="H460" s="167"/>
      <c r="I460" s="167"/>
      <c r="J460" s="167"/>
      <c r="K460" s="167"/>
    </row>
    <row r="461" spans="7:11">
      <c r="G461" s="167"/>
      <c r="H461" s="167"/>
      <c r="I461" s="167"/>
      <c r="J461" s="167"/>
      <c r="K461" s="167"/>
    </row>
    <row r="462" spans="7:11">
      <c r="G462" s="167"/>
      <c r="H462" s="167"/>
      <c r="I462" s="167"/>
      <c r="J462" s="167"/>
      <c r="K462" s="167"/>
    </row>
    <row r="463" spans="7:11">
      <c r="G463" s="167"/>
      <c r="H463" s="167"/>
      <c r="I463" s="167"/>
      <c r="J463" s="167"/>
      <c r="K463" s="167"/>
    </row>
    <row r="464" spans="7:11">
      <c r="G464" s="167"/>
      <c r="H464" s="167"/>
      <c r="I464" s="167"/>
      <c r="J464" s="167"/>
      <c r="K464" s="167"/>
    </row>
    <row r="465" spans="7:11">
      <c r="G465" s="167"/>
      <c r="H465" s="167"/>
      <c r="I465" s="167"/>
      <c r="J465" s="167"/>
      <c r="K465" s="167"/>
    </row>
    <row r="466" spans="7:11">
      <c r="G466" s="167"/>
      <c r="H466" s="167"/>
      <c r="I466" s="167"/>
      <c r="J466" s="167"/>
      <c r="K466" s="167"/>
    </row>
    <row r="467" spans="7:11">
      <c r="G467" s="167"/>
      <c r="H467" s="167"/>
      <c r="I467" s="167"/>
      <c r="J467" s="167"/>
      <c r="K467" s="167"/>
    </row>
    <row r="468" spans="7:11">
      <c r="G468" s="167"/>
      <c r="H468" s="167"/>
      <c r="I468" s="167"/>
      <c r="J468" s="167"/>
      <c r="K468" s="167"/>
    </row>
    <row r="469" spans="7:11">
      <c r="G469" s="167"/>
      <c r="H469" s="167"/>
      <c r="I469" s="167"/>
      <c r="J469" s="167"/>
      <c r="K469" s="167"/>
    </row>
    <row r="470" spans="7:11">
      <c r="G470" s="167"/>
      <c r="H470" s="167"/>
      <c r="I470" s="167"/>
      <c r="J470" s="167"/>
      <c r="K470" s="167"/>
    </row>
    <row r="471" spans="7:11">
      <c r="G471" s="167"/>
      <c r="H471" s="167"/>
      <c r="I471" s="167"/>
      <c r="J471" s="167"/>
      <c r="K471" s="167"/>
    </row>
    <row r="472" spans="7:11">
      <c r="G472" s="167"/>
      <c r="H472" s="167"/>
      <c r="I472" s="167"/>
      <c r="J472" s="167"/>
      <c r="K472" s="167"/>
    </row>
    <row r="473" spans="7:11">
      <c r="G473" s="167"/>
      <c r="H473" s="167"/>
      <c r="I473" s="167"/>
      <c r="J473" s="167"/>
      <c r="K473" s="167"/>
    </row>
    <row r="474" spans="7:11">
      <c r="G474" s="167"/>
      <c r="H474" s="167"/>
      <c r="I474" s="167"/>
      <c r="J474" s="167"/>
      <c r="K474" s="167"/>
    </row>
    <row r="475" spans="7:11">
      <c r="G475" s="167"/>
      <c r="H475" s="167"/>
      <c r="I475" s="167"/>
      <c r="J475" s="167"/>
      <c r="K475" s="167"/>
    </row>
    <row r="476" spans="7:11">
      <c r="G476" s="167"/>
      <c r="H476" s="167"/>
      <c r="I476" s="167"/>
      <c r="J476" s="167"/>
      <c r="K476" s="167"/>
    </row>
    <row r="477" spans="7:11">
      <c r="G477" s="167"/>
      <c r="H477" s="167"/>
      <c r="I477" s="167"/>
      <c r="J477" s="167"/>
      <c r="K477" s="167"/>
    </row>
    <row r="478" spans="7:11">
      <c r="G478" s="167"/>
      <c r="H478" s="167"/>
      <c r="I478" s="167"/>
      <c r="J478" s="167"/>
      <c r="K478" s="167"/>
    </row>
    <row r="479" spans="7:11">
      <c r="G479" s="167"/>
      <c r="H479" s="167"/>
      <c r="I479" s="167"/>
      <c r="J479" s="167"/>
      <c r="K479" s="167"/>
    </row>
    <row r="480" spans="7:11">
      <c r="G480" s="167"/>
      <c r="H480" s="167"/>
      <c r="I480" s="167"/>
      <c r="J480" s="167"/>
      <c r="K480" s="167"/>
    </row>
    <row r="481" spans="7:11">
      <c r="G481" s="167"/>
      <c r="H481" s="167"/>
      <c r="I481" s="167"/>
      <c r="J481" s="167"/>
      <c r="K481" s="167"/>
    </row>
    <row r="482" spans="7:11">
      <c r="G482" s="167"/>
      <c r="H482" s="167"/>
      <c r="I482" s="167"/>
      <c r="J482" s="167"/>
      <c r="K482" s="167"/>
    </row>
    <row r="483" spans="7:11">
      <c r="G483" s="167"/>
      <c r="H483" s="167"/>
      <c r="I483" s="167"/>
      <c r="J483" s="167"/>
      <c r="K483" s="167"/>
    </row>
    <row r="484" spans="7:11">
      <c r="G484" s="167"/>
      <c r="H484" s="167"/>
      <c r="I484" s="167"/>
      <c r="J484" s="167"/>
      <c r="K484" s="167"/>
    </row>
    <row r="485" spans="7:11">
      <c r="G485" s="167"/>
      <c r="H485" s="167"/>
      <c r="I485" s="167"/>
      <c r="J485" s="167"/>
      <c r="K485" s="167"/>
    </row>
    <row r="486" spans="7:11">
      <c r="G486" s="167"/>
      <c r="H486" s="167"/>
      <c r="I486" s="167"/>
      <c r="J486" s="167"/>
      <c r="K486" s="167"/>
    </row>
    <row r="487" spans="7:11">
      <c r="G487" s="167"/>
      <c r="H487" s="167"/>
      <c r="I487" s="167"/>
      <c r="J487" s="167"/>
      <c r="K487" s="167"/>
    </row>
    <row r="488" spans="7:11">
      <c r="G488" s="167"/>
      <c r="H488" s="167"/>
      <c r="I488" s="167"/>
      <c r="J488" s="167"/>
      <c r="K488" s="167"/>
    </row>
    <row r="489" spans="7:11">
      <c r="G489" s="167"/>
      <c r="H489" s="167"/>
      <c r="I489" s="167"/>
      <c r="J489" s="167"/>
      <c r="K489" s="167"/>
    </row>
    <row r="490" spans="7:11">
      <c r="G490" s="167"/>
      <c r="H490" s="167"/>
      <c r="I490" s="167"/>
      <c r="J490" s="167"/>
      <c r="K490" s="167"/>
    </row>
    <row r="491" spans="7:11">
      <c r="G491" s="167"/>
      <c r="H491" s="167"/>
      <c r="I491" s="167"/>
      <c r="J491" s="167"/>
      <c r="K491" s="167"/>
    </row>
    <row r="492" spans="7:11">
      <c r="G492" s="167"/>
      <c r="H492" s="167"/>
      <c r="I492" s="167"/>
      <c r="J492" s="167"/>
      <c r="K492" s="167"/>
    </row>
    <row r="493" spans="7:11">
      <c r="G493" s="167"/>
      <c r="H493" s="167"/>
      <c r="I493" s="167"/>
      <c r="J493" s="167"/>
      <c r="K493" s="167"/>
    </row>
    <row r="494" spans="7:11">
      <c r="G494" s="167"/>
      <c r="H494" s="167"/>
      <c r="I494" s="167"/>
      <c r="J494" s="167"/>
      <c r="K494" s="167"/>
    </row>
    <row r="495" spans="7:11">
      <c r="G495" s="167"/>
      <c r="H495" s="167"/>
      <c r="I495" s="167"/>
      <c r="J495" s="167"/>
      <c r="K495" s="167"/>
    </row>
    <row r="496" spans="7:11">
      <c r="G496" s="167"/>
      <c r="H496" s="167"/>
      <c r="I496" s="167"/>
      <c r="J496" s="167"/>
      <c r="K496" s="167"/>
    </row>
    <row r="497" spans="7:11">
      <c r="G497" s="167"/>
      <c r="H497" s="167"/>
      <c r="I497" s="167"/>
      <c r="J497" s="167"/>
      <c r="K497" s="167"/>
    </row>
    <row r="498" spans="7:11">
      <c r="G498" s="167"/>
      <c r="H498" s="167"/>
      <c r="I498" s="167"/>
      <c r="J498" s="167"/>
      <c r="K498" s="167"/>
    </row>
    <row r="499" spans="7:11">
      <c r="G499" s="167"/>
      <c r="H499" s="167"/>
      <c r="I499" s="167"/>
      <c r="J499" s="167"/>
      <c r="K499" s="167"/>
    </row>
    <row r="500" spans="7:11">
      <c r="G500" s="167"/>
      <c r="H500" s="167"/>
      <c r="I500" s="167"/>
      <c r="J500" s="167"/>
      <c r="K500" s="167"/>
    </row>
    <row r="501" spans="7:11">
      <c r="G501" s="167"/>
      <c r="H501" s="167"/>
      <c r="I501" s="167"/>
      <c r="J501" s="167"/>
      <c r="K501" s="167"/>
    </row>
    <row r="502" spans="7:11">
      <c r="G502" s="167"/>
      <c r="H502" s="167"/>
      <c r="I502" s="167"/>
      <c r="J502" s="167"/>
      <c r="K502" s="167"/>
    </row>
    <row r="503" spans="7:11">
      <c r="G503" s="167"/>
      <c r="H503" s="167"/>
      <c r="I503" s="167"/>
      <c r="J503" s="167"/>
      <c r="K503" s="167"/>
    </row>
    <row r="504" spans="7:11">
      <c r="G504" s="167"/>
      <c r="H504" s="167"/>
      <c r="I504" s="167"/>
      <c r="J504" s="167"/>
      <c r="K504" s="167"/>
    </row>
    <row r="505" spans="7:11">
      <c r="G505" s="167"/>
      <c r="H505" s="167"/>
      <c r="I505" s="167"/>
      <c r="J505" s="167"/>
      <c r="K505" s="167"/>
    </row>
    <row r="506" spans="7:11">
      <c r="G506" s="167"/>
      <c r="H506" s="167"/>
      <c r="I506" s="167"/>
      <c r="J506" s="167"/>
      <c r="K506" s="167"/>
    </row>
    <row r="507" spans="7:11">
      <c r="G507" s="167"/>
      <c r="H507" s="167"/>
      <c r="I507" s="167"/>
      <c r="J507" s="167"/>
      <c r="K507" s="167"/>
    </row>
    <row r="508" spans="7:11">
      <c r="G508" s="167"/>
      <c r="H508" s="167"/>
      <c r="I508" s="167"/>
      <c r="J508" s="167"/>
      <c r="K508" s="167"/>
    </row>
    <row r="509" spans="7:11">
      <c r="G509" s="167"/>
      <c r="H509" s="167"/>
      <c r="I509" s="167"/>
      <c r="J509" s="167"/>
      <c r="K509" s="167"/>
    </row>
    <row r="510" spans="7:11">
      <c r="G510" s="167"/>
      <c r="H510" s="167"/>
      <c r="I510" s="167"/>
      <c r="J510" s="167"/>
      <c r="K510" s="167"/>
    </row>
    <row r="511" spans="7:11">
      <c r="G511" s="167"/>
      <c r="H511" s="167"/>
      <c r="I511" s="167"/>
      <c r="J511" s="167"/>
      <c r="K511" s="167"/>
    </row>
    <row r="512" spans="7:11">
      <c r="G512" s="167"/>
      <c r="H512" s="167"/>
      <c r="I512" s="167"/>
      <c r="J512" s="167"/>
      <c r="K512" s="167"/>
    </row>
    <row r="513" spans="7:11">
      <c r="G513" s="167"/>
      <c r="H513" s="167"/>
      <c r="I513" s="167"/>
      <c r="J513" s="167"/>
      <c r="K513" s="167"/>
    </row>
    <row r="514" spans="7:11">
      <c r="G514" s="167"/>
      <c r="H514" s="167"/>
      <c r="I514" s="167"/>
      <c r="J514" s="167"/>
      <c r="K514" s="167"/>
    </row>
    <row r="515" spans="7:11">
      <c r="G515" s="167"/>
      <c r="H515" s="167"/>
      <c r="I515" s="167"/>
      <c r="J515" s="167"/>
      <c r="K515" s="167"/>
    </row>
    <row r="516" spans="7:11">
      <c r="G516" s="167"/>
      <c r="H516" s="167"/>
      <c r="I516" s="167"/>
      <c r="J516" s="167"/>
      <c r="K516" s="167"/>
    </row>
    <row r="517" spans="7:11">
      <c r="G517" s="167"/>
      <c r="H517" s="167"/>
      <c r="I517" s="167"/>
      <c r="J517" s="167"/>
      <c r="K517" s="167"/>
    </row>
    <row r="518" spans="7:11">
      <c r="G518" s="167"/>
      <c r="H518" s="167"/>
      <c r="I518" s="167"/>
      <c r="J518" s="167"/>
      <c r="K518" s="167"/>
    </row>
    <row r="519" spans="7:11">
      <c r="G519" s="167"/>
      <c r="H519" s="167"/>
      <c r="I519" s="167"/>
      <c r="J519" s="167"/>
      <c r="K519" s="167"/>
    </row>
    <row r="520" spans="7:11">
      <c r="G520" s="167"/>
      <c r="H520" s="167"/>
      <c r="I520" s="167"/>
      <c r="J520" s="167"/>
      <c r="K520" s="167"/>
    </row>
    <row r="521" spans="7:11">
      <c r="G521" s="167"/>
      <c r="H521" s="167"/>
      <c r="I521" s="167"/>
      <c r="J521" s="167"/>
      <c r="K521" s="167"/>
    </row>
    <row r="522" spans="7:11">
      <c r="G522" s="167"/>
      <c r="H522" s="167"/>
      <c r="I522" s="167"/>
      <c r="J522" s="167"/>
      <c r="K522" s="167"/>
    </row>
    <row r="523" spans="7:11">
      <c r="G523" s="167"/>
      <c r="H523" s="167"/>
      <c r="I523" s="167"/>
      <c r="J523" s="167"/>
      <c r="K523" s="167"/>
    </row>
    <row r="524" spans="7:11">
      <c r="G524" s="167"/>
      <c r="H524" s="167"/>
      <c r="I524" s="167"/>
      <c r="J524" s="167"/>
      <c r="K524" s="167"/>
    </row>
    <row r="525" spans="7:11">
      <c r="G525" s="167"/>
      <c r="H525" s="167"/>
      <c r="I525" s="167"/>
      <c r="J525" s="167"/>
      <c r="K525" s="167"/>
    </row>
    <row r="526" spans="7:11">
      <c r="G526" s="167"/>
      <c r="H526" s="167"/>
      <c r="I526" s="167"/>
      <c r="J526" s="167"/>
      <c r="K526" s="167"/>
    </row>
    <row r="527" spans="7:11">
      <c r="G527" s="167"/>
      <c r="H527" s="167"/>
      <c r="I527" s="167"/>
      <c r="J527" s="167"/>
      <c r="K527" s="167"/>
    </row>
    <row r="528" spans="7:11">
      <c r="G528" s="167"/>
      <c r="H528" s="167"/>
      <c r="I528" s="167"/>
      <c r="J528" s="167"/>
      <c r="K528" s="167"/>
    </row>
    <row r="529" spans="7:11">
      <c r="G529" s="167"/>
      <c r="H529" s="167"/>
      <c r="I529" s="167"/>
      <c r="J529" s="167"/>
      <c r="K529" s="167"/>
    </row>
    <row r="530" spans="7:11">
      <c r="G530" s="167"/>
      <c r="H530" s="167"/>
      <c r="I530" s="167"/>
      <c r="J530" s="167"/>
      <c r="K530" s="167"/>
    </row>
    <row r="531" spans="7:11">
      <c r="G531" s="167"/>
      <c r="H531" s="167"/>
      <c r="I531" s="167"/>
      <c r="J531" s="167"/>
      <c r="K531" s="167"/>
    </row>
    <row r="532" spans="7:11">
      <c r="G532" s="167"/>
      <c r="H532" s="167"/>
      <c r="I532" s="167"/>
      <c r="J532" s="167"/>
      <c r="K532" s="167"/>
    </row>
    <row r="533" spans="7:11">
      <c r="G533" s="167"/>
      <c r="H533" s="167"/>
      <c r="I533" s="167"/>
      <c r="J533" s="167"/>
      <c r="K533" s="167"/>
    </row>
    <row r="534" spans="7:11">
      <c r="G534" s="167"/>
      <c r="H534" s="167"/>
      <c r="I534" s="167"/>
      <c r="J534" s="167"/>
      <c r="K534" s="167"/>
    </row>
    <row r="535" spans="7:11">
      <c r="G535" s="167"/>
      <c r="H535" s="167"/>
      <c r="I535" s="167"/>
      <c r="J535" s="167"/>
      <c r="K535" s="167"/>
    </row>
    <row r="536" spans="7:11">
      <c r="G536" s="167"/>
      <c r="H536" s="167"/>
      <c r="I536" s="167"/>
      <c r="J536" s="167"/>
      <c r="K536" s="167"/>
    </row>
    <row r="537" spans="7:11">
      <c r="G537" s="167"/>
      <c r="H537" s="167"/>
      <c r="I537" s="167"/>
      <c r="J537" s="167"/>
      <c r="K537" s="167"/>
    </row>
    <row r="538" spans="7:11">
      <c r="G538" s="167"/>
      <c r="H538" s="167"/>
      <c r="I538" s="167"/>
      <c r="J538" s="167"/>
      <c r="K538" s="167"/>
    </row>
    <row r="539" spans="7:11">
      <c r="G539" s="167"/>
      <c r="H539" s="167"/>
      <c r="I539" s="167"/>
      <c r="J539" s="167"/>
      <c r="K539" s="167"/>
    </row>
    <row r="540" spans="7:11">
      <c r="G540" s="167"/>
      <c r="H540" s="167"/>
      <c r="I540" s="167"/>
      <c r="J540" s="167"/>
      <c r="K540" s="167"/>
    </row>
    <row r="541" spans="7:11">
      <c r="G541" s="167"/>
      <c r="H541" s="167"/>
      <c r="I541" s="167"/>
      <c r="J541" s="167"/>
      <c r="K541" s="167"/>
    </row>
    <row r="542" spans="7:11">
      <c r="G542" s="167"/>
      <c r="H542" s="167"/>
      <c r="I542" s="167"/>
      <c r="J542" s="167"/>
      <c r="K542" s="167"/>
    </row>
    <row r="543" spans="7:11">
      <c r="G543" s="167"/>
      <c r="H543" s="167"/>
      <c r="I543" s="167"/>
      <c r="J543" s="167"/>
      <c r="K543" s="167"/>
    </row>
    <row r="544" spans="7:11">
      <c r="G544" s="167"/>
      <c r="H544" s="167"/>
      <c r="I544" s="167"/>
      <c r="J544" s="167"/>
      <c r="K544" s="167"/>
    </row>
    <row r="545" spans="7:11">
      <c r="G545" s="167"/>
      <c r="H545" s="167"/>
      <c r="I545" s="167"/>
      <c r="J545" s="167"/>
      <c r="K545" s="167"/>
    </row>
    <row r="546" spans="7:11">
      <c r="G546" s="167"/>
      <c r="H546" s="167"/>
      <c r="I546" s="167"/>
      <c r="J546" s="167"/>
      <c r="K546" s="167"/>
    </row>
    <row r="547" spans="7:11">
      <c r="G547" s="167"/>
      <c r="H547" s="167"/>
      <c r="I547" s="167"/>
      <c r="J547" s="167"/>
      <c r="K547" s="167"/>
    </row>
    <row r="548" spans="7:11">
      <c r="G548" s="167"/>
      <c r="H548" s="167"/>
      <c r="I548" s="167"/>
      <c r="J548" s="167"/>
      <c r="K548" s="167"/>
    </row>
    <row r="549" spans="7:11">
      <c r="G549" s="167"/>
      <c r="H549" s="167"/>
      <c r="I549" s="167"/>
      <c r="J549" s="167"/>
      <c r="K549" s="167"/>
    </row>
    <row r="550" spans="7:11">
      <c r="G550" s="167"/>
      <c r="H550" s="167"/>
      <c r="I550" s="167"/>
      <c r="J550" s="167"/>
      <c r="K550" s="167"/>
    </row>
    <row r="551" spans="7:11">
      <c r="G551" s="167"/>
      <c r="H551" s="167"/>
      <c r="I551" s="167"/>
      <c r="J551" s="167"/>
      <c r="K551" s="167"/>
    </row>
    <row r="552" spans="7:11">
      <c r="G552" s="167"/>
      <c r="H552" s="167"/>
      <c r="I552" s="167"/>
      <c r="J552" s="167"/>
      <c r="K552" s="167"/>
    </row>
    <row r="553" spans="7:11">
      <c r="G553" s="167"/>
      <c r="H553" s="167"/>
      <c r="I553" s="167"/>
      <c r="J553" s="167"/>
      <c r="K553" s="167"/>
    </row>
    <row r="554" spans="7:11">
      <c r="G554" s="167"/>
      <c r="H554" s="167"/>
      <c r="I554" s="167"/>
      <c r="J554" s="167"/>
      <c r="K554" s="167"/>
    </row>
    <row r="555" spans="7:11">
      <c r="G555" s="167"/>
      <c r="H555" s="167"/>
      <c r="I555" s="167"/>
      <c r="J555" s="167"/>
      <c r="K555" s="167"/>
    </row>
    <row r="556" spans="7:11">
      <c r="G556" s="167"/>
      <c r="H556" s="167"/>
      <c r="I556" s="167"/>
      <c r="J556" s="167"/>
      <c r="K556" s="167"/>
    </row>
    <row r="557" spans="7:11">
      <c r="G557" s="167"/>
      <c r="H557" s="167"/>
      <c r="I557" s="167"/>
      <c r="J557" s="167"/>
      <c r="K557" s="167"/>
    </row>
    <row r="558" spans="7:11">
      <c r="G558" s="167"/>
      <c r="H558" s="167"/>
      <c r="I558" s="167"/>
      <c r="J558" s="167"/>
      <c r="K558" s="167"/>
    </row>
    <row r="559" spans="7:11">
      <c r="G559" s="167"/>
      <c r="H559" s="167"/>
      <c r="I559" s="167"/>
      <c r="J559" s="167"/>
      <c r="K559" s="167"/>
    </row>
    <row r="560" spans="7:11">
      <c r="G560" s="167"/>
      <c r="H560" s="167"/>
      <c r="I560" s="167"/>
      <c r="J560" s="167"/>
      <c r="K560" s="167"/>
    </row>
    <row r="561" spans="7:11">
      <c r="G561" s="167"/>
      <c r="H561" s="167"/>
      <c r="I561" s="167"/>
      <c r="J561" s="167"/>
      <c r="K561" s="167"/>
    </row>
    <row r="562" spans="7:11">
      <c r="G562" s="167"/>
      <c r="H562" s="167"/>
      <c r="I562" s="167"/>
      <c r="J562" s="167"/>
      <c r="K562" s="167"/>
    </row>
    <row r="563" spans="7:11">
      <c r="G563" s="167"/>
      <c r="H563" s="167"/>
      <c r="I563" s="167"/>
      <c r="J563" s="167"/>
      <c r="K563" s="167"/>
    </row>
    <row r="564" spans="7:11">
      <c r="G564" s="167"/>
      <c r="H564" s="167"/>
      <c r="I564" s="167"/>
      <c r="J564" s="167"/>
      <c r="K564" s="167"/>
    </row>
    <row r="565" spans="7:11">
      <c r="G565" s="167"/>
      <c r="H565" s="167"/>
      <c r="I565" s="167"/>
      <c r="J565" s="167"/>
      <c r="K565" s="167"/>
    </row>
    <row r="566" spans="7:11">
      <c r="G566" s="167"/>
      <c r="H566" s="167"/>
      <c r="I566" s="167"/>
      <c r="J566" s="167"/>
      <c r="K566" s="167"/>
    </row>
    <row r="567" spans="7:11">
      <c r="G567" s="167"/>
      <c r="H567" s="167"/>
      <c r="I567" s="167"/>
      <c r="J567" s="167"/>
      <c r="K567" s="167"/>
    </row>
    <row r="568" spans="7:11">
      <c r="G568" s="167"/>
      <c r="H568" s="167"/>
      <c r="I568" s="167"/>
      <c r="J568" s="167"/>
      <c r="K568" s="167"/>
    </row>
    <row r="569" spans="7:11">
      <c r="G569" s="167"/>
      <c r="H569" s="167"/>
      <c r="I569" s="167"/>
      <c r="J569" s="167"/>
      <c r="K569" s="167"/>
    </row>
    <row r="570" spans="7:11">
      <c r="G570" s="167"/>
      <c r="H570" s="167"/>
      <c r="I570" s="167"/>
      <c r="J570" s="167"/>
      <c r="K570" s="167"/>
    </row>
    <row r="571" spans="7:11">
      <c r="G571" s="167"/>
      <c r="H571" s="167"/>
      <c r="I571" s="167"/>
      <c r="J571" s="167"/>
      <c r="K571" s="167"/>
    </row>
    <row r="572" spans="7:11">
      <c r="G572" s="167"/>
      <c r="H572" s="167"/>
      <c r="I572" s="167"/>
      <c r="J572" s="167"/>
      <c r="K572" s="167"/>
    </row>
    <row r="573" spans="7:11">
      <c r="G573" s="167"/>
      <c r="H573" s="167"/>
      <c r="I573" s="167"/>
      <c r="J573" s="167"/>
      <c r="K573" s="167"/>
    </row>
    <row r="574" spans="7:11">
      <c r="G574" s="167"/>
      <c r="H574" s="167"/>
      <c r="I574" s="167"/>
      <c r="J574" s="167"/>
      <c r="K574" s="167"/>
    </row>
    <row r="575" spans="7:11">
      <c r="G575" s="167"/>
      <c r="H575" s="167"/>
      <c r="I575" s="167"/>
      <c r="J575" s="167"/>
      <c r="K575" s="167"/>
    </row>
    <row r="576" spans="7:11">
      <c r="G576" s="167"/>
      <c r="H576" s="167"/>
      <c r="I576" s="167"/>
      <c r="J576" s="167"/>
      <c r="K576" s="167"/>
    </row>
    <row r="577" spans="7:11">
      <c r="G577" s="167"/>
      <c r="H577" s="167"/>
      <c r="I577" s="167"/>
      <c r="J577" s="167"/>
      <c r="K577" s="167"/>
    </row>
    <row r="578" spans="7:11">
      <c r="G578" s="167"/>
      <c r="H578" s="167"/>
      <c r="I578" s="167"/>
      <c r="J578" s="167"/>
      <c r="K578" s="167"/>
    </row>
    <row r="579" spans="7:11">
      <c r="G579" s="167"/>
      <c r="H579" s="167"/>
      <c r="I579" s="167"/>
      <c r="J579" s="167"/>
      <c r="K579" s="167"/>
    </row>
    <row r="580" spans="7:11">
      <c r="G580" s="167"/>
      <c r="H580" s="167"/>
      <c r="I580" s="167"/>
      <c r="J580" s="167"/>
      <c r="K580" s="167"/>
    </row>
    <row r="581" spans="7:11">
      <c r="G581" s="167"/>
      <c r="H581" s="167"/>
      <c r="I581" s="167"/>
      <c r="J581" s="167"/>
      <c r="K581" s="167"/>
    </row>
    <row r="582" spans="7:11">
      <c r="G582" s="167"/>
      <c r="H582" s="167"/>
      <c r="I582" s="167"/>
      <c r="J582" s="167"/>
      <c r="K582" s="167"/>
    </row>
    <row r="583" spans="7:11">
      <c r="G583" s="167"/>
      <c r="H583" s="167"/>
      <c r="I583" s="167"/>
      <c r="J583" s="167"/>
      <c r="K583" s="167"/>
    </row>
    <row r="584" spans="7:11">
      <c r="G584" s="167"/>
      <c r="H584" s="167"/>
      <c r="I584" s="167"/>
      <c r="J584" s="167"/>
      <c r="K584" s="167"/>
    </row>
    <row r="585" spans="7:11">
      <c r="G585" s="167"/>
      <c r="H585" s="167"/>
      <c r="I585" s="167"/>
      <c r="J585" s="167"/>
      <c r="K585" s="167"/>
    </row>
    <row r="586" spans="7:11">
      <c r="G586" s="167"/>
      <c r="H586" s="167"/>
      <c r="I586" s="167"/>
      <c r="J586" s="167"/>
      <c r="K586" s="167"/>
    </row>
    <row r="587" spans="7:11">
      <c r="G587" s="167"/>
      <c r="H587" s="167"/>
      <c r="I587" s="167"/>
      <c r="J587" s="167"/>
      <c r="K587" s="167"/>
    </row>
    <row r="588" spans="7:11">
      <c r="G588" s="167"/>
      <c r="H588" s="167"/>
      <c r="I588" s="167"/>
      <c r="J588" s="167"/>
      <c r="K588" s="167"/>
    </row>
    <row r="589" spans="7:11">
      <c r="G589" s="167"/>
      <c r="H589" s="167"/>
      <c r="I589" s="167"/>
      <c r="J589" s="167"/>
      <c r="K589" s="167"/>
    </row>
    <row r="590" spans="7:11">
      <c r="G590" s="167"/>
      <c r="H590" s="167"/>
      <c r="I590" s="167"/>
      <c r="J590" s="167"/>
      <c r="K590" s="167"/>
    </row>
    <row r="591" spans="7:11">
      <c r="G591" s="167"/>
      <c r="H591" s="167"/>
      <c r="I591" s="167"/>
      <c r="J591" s="167"/>
      <c r="K591" s="167"/>
    </row>
    <row r="592" spans="7:11">
      <c r="G592" s="167"/>
      <c r="H592" s="167"/>
      <c r="I592" s="167"/>
      <c r="J592" s="167"/>
      <c r="K592" s="167"/>
    </row>
    <row r="593" spans="7:11">
      <c r="G593" s="167"/>
      <c r="H593" s="167"/>
      <c r="I593" s="167"/>
      <c r="J593" s="167"/>
      <c r="K593" s="167"/>
    </row>
    <row r="594" spans="7:11">
      <c r="G594" s="167"/>
      <c r="H594" s="167"/>
      <c r="I594" s="167"/>
      <c r="J594" s="167"/>
      <c r="K594" s="167"/>
    </row>
    <row r="595" spans="7:11">
      <c r="G595" s="167"/>
      <c r="H595" s="167"/>
      <c r="I595" s="167"/>
      <c r="J595" s="167"/>
      <c r="K595" s="167"/>
    </row>
    <row r="596" spans="7:11">
      <c r="G596" s="167"/>
      <c r="H596" s="167"/>
      <c r="I596" s="167"/>
      <c r="J596" s="167"/>
      <c r="K596" s="167"/>
    </row>
    <row r="597" spans="7:11">
      <c r="G597" s="167"/>
      <c r="H597" s="167"/>
      <c r="I597" s="167"/>
      <c r="J597" s="167"/>
      <c r="K597" s="167"/>
    </row>
    <row r="598" spans="7:11">
      <c r="G598" s="167"/>
      <c r="H598" s="167"/>
      <c r="I598" s="167"/>
      <c r="J598" s="167"/>
      <c r="K598" s="167"/>
    </row>
    <row r="599" spans="7:11">
      <c r="G599" s="167"/>
      <c r="H599" s="167"/>
      <c r="I599" s="167"/>
      <c r="J599" s="167"/>
      <c r="K599" s="167"/>
    </row>
    <row r="600" spans="7:11">
      <c r="G600" s="167"/>
      <c r="H600" s="167"/>
      <c r="I600" s="167"/>
      <c r="J600" s="167"/>
      <c r="K600" s="167"/>
    </row>
    <row r="601" spans="7:11">
      <c r="G601" s="167"/>
      <c r="H601" s="167"/>
      <c r="I601" s="167"/>
      <c r="J601" s="167"/>
      <c r="K601" s="167"/>
    </row>
    <row r="602" spans="7:11">
      <c r="G602" s="167"/>
      <c r="H602" s="167"/>
      <c r="I602" s="167"/>
      <c r="J602" s="167"/>
      <c r="K602" s="167"/>
    </row>
    <row r="603" spans="7:11">
      <c r="G603" s="167"/>
      <c r="H603" s="167"/>
      <c r="I603" s="167"/>
      <c r="J603" s="167"/>
      <c r="K603" s="167"/>
    </row>
    <row r="604" spans="7:11">
      <c r="G604" s="167"/>
      <c r="H604" s="167"/>
      <c r="I604" s="167"/>
      <c r="J604" s="167"/>
      <c r="K604" s="167"/>
    </row>
    <row r="605" spans="7:11">
      <c r="G605" s="167"/>
      <c r="H605" s="167"/>
      <c r="I605" s="167"/>
      <c r="J605" s="167"/>
      <c r="K605" s="167"/>
    </row>
    <row r="606" spans="7:11">
      <c r="G606" s="167"/>
      <c r="H606" s="167"/>
      <c r="I606" s="167"/>
      <c r="J606" s="167"/>
      <c r="K606" s="167"/>
    </row>
    <row r="607" spans="7:11">
      <c r="G607" s="167"/>
      <c r="H607" s="167"/>
      <c r="I607" s="167"/>
      <c r="J607" s="167"/>
      <c r="K607" s="167"/>
    </row>
    <row r="608" spans="7:11">
      <c r="G608" s="167"/>
      <c r="H608" s="167"/>
      <c r="I608" s="167"/>
      <c r="J608" s="167"/>
      <c r="K608" s="167"/>
    </row>
    <row r="609" spans="7:11">
      <c r="G609" s="167"/>
      <c r="H609" s="167"/>
      <c r="I609" s="167"/>
      <c r="J609" s="167"/>
      <c r="K609" s="167"/>
    </row>
    <row r="610" spans="7:11">
      <c r="G610" s="167"/>
      <c r="H610" s="167"/>
      <c r="I610" s="167"/>
      <c r="J610" s="167"/>
      <c r="K610" s="167"/>
    </row>
    <row r="611" spans="7:11">
      <c r="G611" s="167"/>
      <c r="H611" s="167"/>
      <c r="I611" s="167"/>
      <c r="J611" s="167"/>
      <c r="K611" s="167"/>
    </row>
    <row r="612" spans="7:11">
      <c r="G612" s="167"/>
      <c r="H612" s="167"/>
      <c r="I612" s="167"/>
      <c r="J612" s="167"/>
      <c r="K612" s="167"/>
    </row>
    <row r="613" spans="7:11">
      <c r="G613" s="167"/>
      <c r="H613" s="167"/>
      <c r="I613" s="167"/>
      <c r="J613" s="167"/>
      <c r="K613" s="167"/>
    </row>
    <row r="614" spans="7:11">
      <c r="G614" s="167"/>
      <c r="H614" s="167"/>
      <c r="I614" s="167"/>
      <c r="J614" s="167"/>
      <c r="K614" s="167"/>
    </row>
    <row r="615" spans="7:11">
      <c r="G615" s="167"/>
      <c r="H615" s="167"/>
      <c r="I615" s="167"/>
      <c r="J615" s="167"/>
      <c r="K615" s="167"/>
    </row>
    <row r="616" spans="7:11">
      <c r="G616" s="167"/>
      <c r="H616" s="167"/>
      <c r="I616" s="167"/>
      <c r="J616" s="167"/>
      <c r="K616" s="167"/>
    </row>
    <row r="617" spans="7:11">
      <c r="G617" s="167"/>
      <c r="H617" s="167"/>
      <c r="I617" s="167"/>
      <c r="J617" s="167"/>
      <c r="K617" s="167"/>
    </row>
    <row r="618" spans="7:11">
      <c r="G618" s="167"/>
      <c r="H618" s="167"/>
      <c r="I618" s="167"/>
      <c r="J618" s="167"/>
      <c r="K618" s="167"/>
    </row>
    <row r="619" spans="7:11">
      <c r="G619" s="167"/>
      <c r="H619" s="167"/>
      <c r="I619" s="167"/>
      <c r="J619" s="167"/>
      <c r="K619" s="167"/>
    </row>
    <row r="620" spans="7:11">
      <c r="G620" s="167"/>
      <c r="H620" s="167"/>
      <c r="I620" s="167"/>
      <c r="J620" s="167"/>
      <c r="K620" s="167"/>
    </row>
    <row r="621" spans="7:11">
      <c r="G621" s="167"/>
      <c r="H621" s="167"/>
      <c r="I621" s="167"/>
      <c r="J621" s="167"/>
      <c r="K621" s="167"/>
    </row>
    <row r="622" spans="7:11">
      <c r="G622" s="167"/>
      <c r="H622" s="167"/>
      <c r="I622" s="167"/>
      <c r="J622" s="167"/>
      <c r="K622" s="167"/>
    </row>
    <row r="623" spans="7:11">
      <c r="G623" s="167"/>
      <c r="H623" s="167"/>
      <c r="I623" s="167"/>
      <c r="J623" s="167"/>
      <c r="K623" s="167"/>
    </row>
    <row r="624" spans="7:11">
      <c r="G624" s="167"/>
      <c r="H624" s="167"/>
      <c r="I624" s="167"/>
      <c r="J624" s="167"/>
      <c r="K624" s="167"/>
    </row>
    <row r="625" spans="7:11">
      <c r="G625" s="167"/>
      <c r="H625" s="167"/>
      <c r="I625" s="167"/>
      <c r="J625" s="167"/>
      <c r="K625" s="167"/>
    </row>
    <row r="626" spans="7:11">
      <c r="G626" s="167"/>
      <c r="H626" s="167"/>
      <c r="I626" s="167"/>
      <c r="J626" s="167"/>
      <c r="K626" s="167"/>
    </row>
    <row r="627" spans="7:11">
      <c r="G627" s="167"/>
      <c r="H627" s="167"/>
      <c r="I627" s="167"/>
      <c r="J627" s="167"/>
      <c r="K627" s="167"/>
    </row>
    <row r="628" spans="7:11">
      <c r="G628" s="167"/>
      <c r="H628" s="167"/>
      <c r="I628" s="167"/>
      <c r="J628" s="167"/>
      <c r="K628" s="167"/>
    </row>
    <row r="629" spans="7:11">
      <c r="G629" s="167"/>
      <c r="H629" s="167"/>
      <c r="I629" s="167"/>
      <c r="J629" s="167"/>
      <c r="K629" s="167"/>
    </row>
    <row r="630" spans="7:11">
      <c r="G630" s="167"/>
      <c r="H630" s="167"/>
      <c r="I630" s="167"/>
      <c r="J630" s="167"/>
      <c r="K630" s="167"/>
    </row>
    <row r="631" spans="7:11">
      <c r="G631" s="167"/>
      <c r="H631" s="167"/>
      <c r="I631" s="167"/>
      <c r="J631" s="167"/>
      <c r="K631" s="167"/>
    </row>
    <row r="632" spans="7:11">
      <c r="G632" s="167"/>
      <c r="H632" s="167"/>
      <c r="I632" s="167"/>
      <c r="J632" s="167"/>
      <c r="K632" s="167"/>
    </row>
    <row r="633" spans="7:11">
      <c r="G633" s="167"/>
      <c r="H633" s="167"/>
      <c r="I633" s="167"/>
      <c r="J633" s="167"/>
      <c r="K633" s="167"/>
    </row>
    <row r="634" spans="7:11">
      <c r="G634" s="167"/>
      <c r="H634" s="167"/>
      <c r="I634" s="167"/>
      <c r="J634" s="167"/>
      <c r="K634" s="167"/>
    </row>
    <row r="635" spans="7:11">
      <c r="G635" s="167"/>
      <c r="H635" s="167"/>
      <c r="I635" s="167"/>
      <c r="J635" s="167"/>
      <c r="K635" s="167"/>
    </row>
    <row r="636" spans="7:11">
      <c r="G636" s="167"/>
      <c r="H636" s="167"/>
      <c r="I636" s="167"/>
      <c r="J636" s="167"/>
      <c r="K636" s="167"/>
    </row>
    <row r="637" spans="7:11">
      <c r="G637" s="167"/>
      <c r="H637" s="167"/>
      <c r="I637" s="167"/>
      <c r="J637" s="167"/>
      <c r="K637" s="167"/>
    </row>
    <row r="638" spans="7:11">
      <c r="G638" s="167"/>
      <c r="H638" s="167"/>
      <c r="I638" s="167"/>
      <c r="J638" s="167"/>
      <c r="K638" s="167"/>
    </row>
    <row r="639" spans="7:11">
      <c r="G639" s="167"/>
      <c r="H639" s="167"/>
      <c r="I639" s="167"/>
      <c r="J639" s="167"/>
      <c r="K639" s="167"/>
    </row>
    <row r="640" spans="7:11">
      <c r="G640" s="167"/>
      <c r="H640" s="167"/>
      <c r="I640" s="167"/>
      <c r="J640" s="167"/>
      <c r="K640" s="167"/>
    </row>
    <row r="641" spans="7:11">
      <c r="G641" s="167"/>
      <c r="H641" s="167"/>
      <c r="I641" s="167"/>
      <c r="J641" s="167"/>
      <c r="K641" s="167"/>
    </row>
    <row r="642" spans="7:11">
      <c r="G642" s="167"/>
      <c r="H642" s="167"/>
      <c r="I642" s="167"/>
      <c r="J642" s="167"/>
      <c r="K642" s="167"/>
    </row>
    <row r="643" spans="7:11">
      <c r="G643" s="167"/>
      <c r="H643" s="167"/>
      <c r="I643" s="167"/>
      <c r="J643" s="167"/>
      <c r="K643" s="167"/>
    </row>
    <row r="644" spans="7:11">
      <c r="G644" s="167"/>
      <c r="H644" s="167"/>
      <c r="I644" s="167"/>
      <c r="J644" s="167"/>
      <c r="K644" s="167"/>
    </row>
    <row r="645" spans="7:11">
      <c r="G645" s="167"/>
      <c r="H645" s="167"/>
      <c r="I645" s="167"/>
      <c r="J645" s="167"/>
      <c r="K645" s="167"/>
    </row>
    <row r="646" spans="7:11">
      <c r="G646" s="167"/>
      <c r="H646" s="167"/>
      <c r="I646" s="167"/>
      <c r="J646" s="167"/>
      <c r="K646" s="167"/>
    </row>
    <row r="647" spans="7:11">
      <c r="G647" s="167"/>
      <c r="H647" s="167"/>
      <c r="I647" s="167"/>
      <c r="J647" s="167"/>
      <c r="K647" s="167"/>
    </row>
    <row r="648" spans="7:11">
      <c r="G648" s="167"/>
      <c r="H648" s="167"/>
      <c r="I648" s="167"/>
      <c r="J648" s="167"/>
      <c r="K648" s="167"/>
    </row>
    <row r="649" spans="7:11">
      <c r="G649" s="167"/>
      <c r="H649" s="167"/>
      <c r="I649" s="167"/>
      <c r="J649" s="167"/>
      <c r="K649" s="167"/>
    </row>
    <row r="650" spans="7:11">
      <c r="G650" s="167"/>
      <c r="H650" s="167"/>
      <c r="I650" s="167"/>
      <c r="J650" s="167"/>
      <c r="K650" s="167"/>
    </row>
    <row r="651" spans="7:11">
      <c r="G651" s="167"/>
      <c r="H651" s="167"/>
      <c r="I651" s="167"/>
      <c r="J651" s="167"/>
      <c r="K651" s="167"/>
    </row>
    <row r="652" spans="7:11">
      <c r="G652" s="167"/>
      <c r="H652" s="167"/>
      <c r="I652" s="167"/>
      <c r="J652" s="167"/>
      <c r="K652" s="167"/>
    </row>
    <row r="653" spans="7:11">
      <c r="G653" s="167"/>
      <c r="H653" s="167"/>
      <c r="I653" s="167"/>
      <c r="J653" s="167"/>
      <c r="K653" s="167"/>
    </row>
    <row r="654" spans="7:11">
      <c r="G654" s="167"/>
      <c r="H654" s="167"/>
      <c r="I654" s="167"/>
      <c r="J654" s="167"/>
      <c r="K654" s="167"/>
    </row>
    <row r="655" spans="7:11">
      <c r="G655" s="167"/>
      <c r="H655" s="167"/>
      <c r="I655" s="167"/>
      <c r="J655" s="167"/>
      <c r="K655" s="167"/>
    </row>
    <row r="656" spans="7:11">
      <c r="G656" s="167"/>
      <c r="H656" s="167"/>
      <c r="I656" s="167"/>
      <c r="J656" s="167"/>
      <c r="K656" s="167"/>
    </row>
    <row r="657" spans="7:11">
      <c r="G657" s="167"/>
      <c r="H657" s="167"/>
      <c r="I657" s="167"/>
      <c r="J657" s="167"/>
      <c r="K657" s="167"/>
    </row>
    <row r="658" spans="7:11">
      <c r="G658" s="167"/>
      <c r="H658" s="167"/>
      <c r="I658" s="167"/>
      <c r="J658" s="167"/>
      <c r="K658" s="167"/>
    </row>
    <row r="659" spans="7:11">
      <c r="G659" s="167"/>
      <c r="H659" s="167"/>
      <c r="I659" s="167"/>
      <c r="J659" s="167"/>
      <c r="K659" s="167"/>
    </row>
    <row r="660" spans="7:11">
      <c r="G660" s="167"/>
      <c r="H660" s="167"/>
      <c r="I660" s="167"/>
      <c r="J660" s="167"/>
      <c r="K660" s="167"/>
    </row>
    <row r="661" spans="7:11">
      <c r="G661" s="167"/>
      <c r="H661" s="167"/>
      <c r="I661" s="167"/>
      <c r="J661" s="167"/>
      <c r="K661" s="167"/>
    </row>
    <row r="662" spans="7:11">
      <c r="G662" s="167"/>
      <c r="H662" s="167"/>
      <c r="I662" s="167"/>
      <c r="J662" s="167"/>
      <c r="K662" s="167"/>
    </row>
    <row r="663" spans="7:11">
      <c r="G663" s="167"/>
      <c r="H663" s="167"/>
      <c r="I663" s="167"/>
      <c r="J663" s="167"/>
      <c r="K663" s="167"/>
    </row>
    <row r="664" spans="7:11">
      <c r="G664" s="167"/>
      <c r="H664" s="167"/>
      <c r="I664" s="167"/>
      <c r="J664" s="167"/>
      <c r="K664" s="167"/>
    </row>
    <row r="665" spans="7:11">
      <c r="G665" s="167"/>
      <c r="H665" s="167"/>
      <c r="I665" s="167"/>
      <c r="J665" s="167"/>
      <c r="K665" s="167"/>
    </row>
    <row r="666" spans="7:11">
      <c r="G666" s="167"/>
      <c r="H666" s="167"/>
      <c r="I666" s="167"/>
      <c r="J666" s="167"/>
      <c r="K666" s="167"/>
    </row>
    <row r="667" spans="7:11">
      <c r="G667" s="167"/>
      <c r="H667" s="167"/>
      <c r="I667" s="167"/>
      <c r="J667" s="167"/>
      <c r="K667" s="167"/>
    </row>
    <row r="668" spans="7:11">
      <c r="G668" s="167"/>
      <c r="H668" s="167"/>
      <c r="I668" s="167"/>
      <c r="J668" s="167"/>
      <c r="K668" s="167"/>
    </row>
    <row r="669" spans="7:11">
      <c r="G669" s="167"/>
      <c r="H669" s="167"/>
      <c r="I669" s="167"/>
      <c r="J669" s="167"/>
      <c r="K669" s="167"/>
    </row>
    <row r="670" spans="7:11">
      <c r="G670" s="167"/>
      <c r="H670" s="167"/>
      <c r="I670" s="167"/>
      <c r="J670" s="167"/>
      <c r="K670" s="167"/>
    </row>
    <row r="671" spans="7:11">
      <c r="G671" s="167"/>
      <c r="H671" s="167"/>
      <c r="I671" s="167"/>
      <c r="J671" s="167"/>
      <c r="K671" s="167"/>
    </row>
    <row r="672" spans="7:11">
      <c r="G672" s="167"/>
      <c r="H672" s="167"/>
      <c r="I672" s="167"/>
      <c r="J672" s="167"/>
      <c r="K672" s="167"/>
    </row>
    <row r="673" spans="7:11">
      <c r="G673" s="167"/>
      <c r="H673" s="167"/>
      <c r="I673" s="167"/>
      <c r="J673" s="167"/>
      <c r="K673" s="167"/>
    </row>
    <row r="674" spans="7:11">
      <c r="G674" s="167"/>
      <c r="H674" s="167"/>
      <c r="I674" s="167"/>
      <c r="J674" s="167"/>
      <c r="K674" s="167"/>
    </row>
    <row r="675" spans="7:11">
      <c r="G675" s="167"/>
      <c r="H675" s="167"/>
      <c r="I675" s="167"/>
      <c r="J675" s="167"/>
      <c r="K675" s="167"/>
    </row>
    <row r="676" spans="7:11">
      <c r="G676" s="167"/>
      <c r="H676" s="167"/>
      <c r="I676" s="167"/>
      <c r="J676" s="167"/>
      <c r="K676" s="167"/>
    </row>
    <row r="677" spans="7:11">
      <c r="G677" s="167"/>
      <c r="H677" s="167"/>
      <c r="I677" s="167"/>
      <c r="J677" s="167"/>
      <c r="K677" s="167"/>
    </row>
  </sheetData>
  <sheetProtection algorithmName="SHA-512" hashValue="RTRw1I15AM34ovPHBSWdw1z5U+JG+0fzGgqHisTSz4skXZbIsQppvX/BfHHD6qHxddElrp1jLJEDHNhx7d0seA==" saltValue="4VTi4buPK0MURn7/whornQ==" spinCount="100000" sheet="1" objects="1" scenarios="1" selectLockedCells="1"/>
  <mergeCells count="57">
    <mergeCell ref="B63:E63"/>
    <mergeCell ref="B102:E102"/>
    <mergeCell ref="B104:E104"/>
    <mergeCell ref="B115:E115"/>
    <mergeCell ref="B124:E124"/>
    <mergeCell ref="B129:E129"/>
    <mergeCell ref="B110:E110"/>
    <mergeCell ref="B109:E109"/>
    <mergeCell ref="B86:E86"/>
    <mergeCell ref="B90:E90"/>
    <mergeCell ref="B92:E92"/>
    <mergeCell ref="B96:E96"/>
    <mergeCell ref="B98:E98"/>
    <mergeCell ref="B93:E93"/>
    <mergeCell ref="B200:E200"/>
    <mergeCell ref="G2:K2"/>
    <mergeCell ref="B9:E9"/>
    <mergeCell ref="B27:E27"/>
    <mergeCell ref="B142:E142"/>
    <mergeCell ref="B145:E145"/>
    <mergeCell ref="B108:E108"/>
    <mergeCell ref="B85:E85"/>
    <mergeCell ref="B143:E143"/>
    <mergeCell ref="B144:E144"/>
    <mergeCell ref="B141:E141"/>
    <mergeCell ref="B151:E151"/>
    <mergeCell ref="B152:E152"/>
    <mergeCell ref="B160:E160"/>
    <mergeCell ref="B154:E154"/>
    <mergeCell ref="B146:E146"/>
    <mergeCell ref="B147:E147"/>
    <mergeCell ref="B148:E148"/>
    <mergeCell ref="B149:E149"/>
    <mergeCell ref="B150:E150"/>
    <mergeCell ref="B153:E153"/>
    <mergeCell ref="B155:E155"/>
    <mergeCell ref="B156:E156"/>
    <mergeCell ref="B157:E157"/>
    <mergeCell ref="B158:E158"/>
    <mergeCell ref="B159:E159"/>
    <mergeCell ref="B193:E193"/>
    <mergeCell ref="B175:E175"/>
    <mergeCell ref="B170:E170"/>
    <mergeCell ref="B171:E171"/>
    <mergeCell ref="B172:E172"/>
    <mergeCell ref="B173:E173"/>
    <mergeCell ref="B176:E176"/>
    <mergeCell ref="B177:E177"/>
    <mergeCell ref="B167:E167"/>
    <mergeCell ref="B168:E168"/>
    <mergeCell ref="B169:E169"/>
    <mergeCell ref="B161:E161"/>
    <mergeCell ref="B162:E162"/>
    <mergeCell ref="B163:E163"/>
    <mergeCell ref="B164:E164"/>
    <mergeCell ref="B165:E165"/>
    <mergeCell ref="B166:E166"/>
  </mergeCell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V806"/>
  <sheetViews>
    <sheetView topLeftCell="B151" zoomScale="70" zoomScaleNormal="70" workbookViewId="0">
      <selection activeCell="B439" sqref="B439"/>
    </sheetView>
  </sheetViews>
  <sheetFormatPr defaultRowHeight="14.4"/>
  <cols>
    <col min="1" max="1" width="66.88671875" customWidth="1"/>
    <col min="2" max="2" width="9.33203125" customWidth="1"/>
    <col min="3" max="3" width="9.5546875" customWidth="1"/>
    <col min="4" max="4" width="9.33203125" customWidth="1"/>
    <col min="5" max="5" width="16.109375" customWidth="1"/>
    <col min="6" max="6" width="49" customWidth="1"/>
    <col min="7" max="14" width="13.33203125" customWidth="1"/>
    <col min="15" max="24" width="13.77734375" customWidth="1"/>
  </cols>
  <sheetData>
    <row r="1" spans="1:9">
      <c r="A1" s="12" t="s">
        <v>0</v>
      </c>
      <c r="B1" s="12"/>
      <c r="C1" s="12"/>
      <c r="D1" s="12"/>
      <c r="E1" s="12"/>
      <c r="F1" s="12" t="s">
        <v>1</v>
      </c>
      <c r="I1" s="396" t="s">
        <v>2112</v>
      </c>
    </row>
    <row r="2" spans="1:9">
      <c r="A2" s="2"/>
      <c r="B2" s="2"/>
      <c r="C2" s="2"/>
      <c r="D2" s="2"/>
      <c r="E2" s="2"/>
      <c r="I2" t="s">
        <v>2118</v>
      </c>
    </row>
    <row r="3" spans="1:9">
      <c r="A3" s="9" t="s">
        <v>2110</v>
      </c>
      <c r="B3" t="s">
        <v>2111</v>
      </c>
      <c r="I3" s="454" t="s">
        <v>2119</v>
      </c>
    </row>
    <row r="4" spans="1:9" ht="18" customHeight="1">
      <c r="A4" s="1767" t="s">
        <v>1931</v>
      </c>
      <c r="B4" s="1767"/>
      <c r="C4" s="1767"/>
      <c r="D4" s="1767"/>
      <c r="E4" s="1767"/>
      <c r="F4" s="1767"/>
      <c r="I4" t="s">
        <v>2120</v>
      </c>
    </row>
    <row r="5" spans="1:9">
      <c r="I5" t="s">
        <v>2121</v>
      </c>
    </row>
    <row r="6" spans="1:9">
      <c r="A6" s="9" t="s">
        <v>2109</v>
      </c>
      <c r="I6" t="s">
        <v>2115</v>
      </c>
    </row>
    <row r="7" spans="1:9" ht="18" customHeight="1">
      <c r="A7" s="602" t="s">
        <v>1930</v>
      </c>
      <c r="F7" s="378" t="str">
        <f>DS_TabLeftFooter</f>
        <v>RFA 2022-109</v>
      </c>
      <c r="I7" t="s">
        <v>2122</v>
      </c>
    </row>
    <row r="8" spans="1:9">
      <c r="I8" t="s">
        <v>2123</v>
      </c>
    </row>
    <row r="9" spans="1:9">
      <c r="A9" t="s">
        <v>1224</v>
      </c>
      <c r="E9" s="645">
        <v>44831</v>
      </c>
      <c r="I9" t="s">
        <v>2124</v>
      </c>
    </row>
    <row r="10" spans="1:9">
      <c r="I10" t="s">
        <v>2117</v>
      </c>
    </row>
    <row r="11" spans="1:9" ht="18" customHeight="1">
      <c r="A11" s="1257" t="s">
        <v>3</v>
      </c>
      <c r="B11" s="1258" t="s">
        <v>4</v>
      </c>
      <c r="C11" s="1258" t="s">
        <v>5</v>
      </c>
      <c r="D11" s="1258" t="s">
        <v>6</v>
      </c>
      <c r="E11" s="1074" t="s">
        <v>1217</v>
      </c>
      <c r="F11" s="111" t="s">
        <v>2</v>
      </c>
      <c r="I11" t="s">
        <v>2125</v>
      </c>
    </row>
    <row r="12" spans="1:9">
      <c r="A12" s="104" t="s">
        <v>7</v>
      </c>
      <c r="B12" s="102"/>
      <c r="C12" s="105" t="str">
        <f>IF(B12&lt;&gt;1,"",SUM(B$12:B12))</f>
        <v/>
      </c>
      <c r="D12" s="102">
        <v>1</v>
      </c>
      <c r="F12" s="112" t="str">
        <f>IF(COUNTA($A$12:$A12)&lt;=MAX(DS_Demo_Sequence)=TRUE,LOOKUP(COUNTA($A$12:$A12),DS_Demo_Sequence,DS_Demo_DataNames),"")</f>
        <v>Persons with Special Needs</v>
      </c>
      <c r="I12" t="s">
        <v>2113</v>
      </c>
    </row>
    <row r="13" spans="1:9">
      <c r="A13" s="106" t="s">
        <v>8</v>
      </c>
      <c r="B13" s="103"/>
      <c r="C13" s="105" t="str">
        <f>IF(B13&lt;&gt;1,"",SUM(B$12:B13))</f>
        <v/>
      </c>
      <c r="D13" s="103">
        <v>2</v>
      </c>
      <c r="F13" s="112" t="str">
        <f>IF(COUNTA($A$12:$A13)&lt;=MAX(DS_Demo_Sequence)=TRUE,LOOKUP(COUNTA($A$12:$A13),DS_Demo_Sequence,DS_Demo_DataNames),"")</f>
        <v/>
      </c>
      <c r="I13" t="s">
        <v>2114</v>
      </c>
    </row>
    <row r="14" spans="1:9">
      <c r="A14" s="106" t="s">
        <v>9</v>
      </c>
      <c r="B14" s="103"/>
      <c r="C14" s="105" t="str">
        <f>IF(B14&lt;&gt;1,"",SUM(B$12:B14))</f>
        <v/>
      </c>
      <c r="D14" s="103">
        <v>3</v>
      </c>
      <c r="F14" s="112" t="str">
        <f>IF(COUNTA($A$12:$A14)&lt;=MAX(DS_Demo_Sequence)=TRUE,LOOKUP(COUNTA($A$12:$A14),DS_Demo_Sequence,DS_Demo_DataNames),"")</f>
        <v/>
      </c>
      <c r="I14" t="s">
        <v>2126</v>
      </c>
    </row>
    <row r="15" spans="1:9">
      <c r="A15" s="106" t="s">
        <v>10</v>
      </c>
      <c r="B15" s="103"/>
      <c r="C15" s="105" t="str">
        <f>IF(B15&lt;&gt;1,"",SUM(B$12:B15))</f>
        <v/>
      </c>
      <c r="D15" s="103">
        <v>4</v>
      </c>
      <c r="F15" s="112" t="str">
        <f>IF(COUNTA($A$12:$A15)&lt;=MAX(DS_Demo_Sequence)=TRUE,LOOKUP(COUNTA($A$12:$A15),DS_Demo_Sequence,DS_Demo_DataNames),"")</f>
        <v/>
      </c>
      <c r="I15" t="s">
        <v>2115</v>
      </c>
    </row>
    <row r="16" spans="1:9">
      <c r="A16" s="106" t="s">
        <v>1099</v>
      </c>
      <c r="B16" s="103"/>
      <c r="C16" s="105" t="str">
        <f>IF(B16&lt;&gt;1,"",SUM(B$12:B16))</f>
        <v/>
      </c>
      <c r="D16" s="103">
        <v>5</v>
      </c>
      <c r="F16" s="112" t="str">
        <f>IF(COUNTA($A$12:$A16)&lt;=MAX(DS_Demo_Sequence)=TRUE,LOOKUP(COUNTA($A$12:$A16),DS_Demo_Sequence,DS_Demo_DataNames),"")</f>
        <v/>
      </c>
      <c r="I16" t="s">
        <v>2127</v>
      </c>
    </row>
    <row r="17" spans="1:9">
      <c r="A17" s="106" t="s">
        <v>11</v>
      </c>
      <c r="B17" s="103"/>
      <c r="C17" s="105" t="str">
        <f>IF(B17&lt;&gt;1,"",SUM(B$12:B17))</f>
        <v/>
      </c>
      <c r="D17" s="103">
        <v>6</v>
      </c>
      <c r="F17" s="112" t="str">
        <f>IF(COUNTA($A$12:$A17)&lt;=MAX(DS_Demo_Sequence)=TRUE,LOOKUP(COUNTA($A$12:$A17),DS_Demo_Sequence,DS_Demo_DataNames),"")</f>
        <v/>
      </c>
      <c r="I17" t="s">
        <v>2116</v>
      </c>
    </row>
    <row r="18" spans="1:9">
      <c r="A18" s="106" t="s">
        <v>12</v>
      </c>
      <c r="B18" s="103"/>
      <c r="C18" s="105" t="str">
        <f>IF(B18&lt;&gt;1,"",SUM(B$12:B18))</f>
        <v/>
      </c>
      <c r="D18" s="103">
        <v>7</v>
      </c>
      <c r="F18" s="112" t="str">
        <f>IF(COUNTA($A$12:$A18)&lt;=MAX(DS_Demo_Sequence)=TRUE,LOOKUP(COUNTA($A$12:$A18),DS_Demo_Sequence,DS_Demo_DataNames),"")</f>
        <v/>
      </c>
      <c r="I18" t="s">
        <v>2117</v>
      </c>
    </row>
    <row r="19" spans="1:9">
      <c r="A19" s="106" t="s">
        <v>13</v>
      </c>
      <c r="B19" s="103"/>
      <c r="C19" s="105" t="str">
        <f>IF(B19&lt;&gt;1,"",SUM(B$12:B19))</f>
        <v/>
      </c>
      <c r="D19" s="103">
        <v>8</v>
      </c>
      <c r="F19" s="112" t="str">
        <f>IF(COUNTA($A$12:$A19)&lt;=MAX(DS_Demo_Sequence)=TRUE,LOOKUP(COUNTA($A$12:$A19),DS_Demo_Sequence,DS_Demo_DataNames),"")</f>
        <v/>
      </c>
    </row>
    <row r="20" spans="1:9">
      <c r="A20" s="106" t="s">
        <v>14</v>
      </c>
      <c r="B20" s="103">
        <v>1</v>
      </c>
      <c r="C20" s="105">
        <f>IF(B20&lt;&gt;1,"",SUM(B$12:B20))</f>
        <v>1</v>
      </c>
      <c r="D20" s="103">
        <v>9</v>
      </c>
      <c r="F20" s="112" t="str">
        <f>IF(COUNTA($A$12:$A20)&lt;=MAX(DS_Demo_Sequence)=TRUE,LOOKUP(COUNTA($A$12:$A20),DS_Demo_Sequence,DS_Demo_DataNames),"")</f>
        <v/>
      </c>
    </row>
    <row r="21" spans="1:9">
      <c r="A21" s="106" t="s">
        <v>15</v>
      </c>
      <c r="B21" s="103"/>
      <c r="C21" s="105" t="str">
        <f>IF(B21&lt;&gt;1,"",SUM(B$12:B21))</f>
        <v/>
      </c>
      <c r="D21" s="103">
        <v>10</v>
      </c>
      <c r="F21" s="112" t="str">
        <f>IF(COUNTA($A$12:$A21)&lt;=MAX(DS_Demo_Sequence)=TRUE,LOOKUP(COUNTA($A$12:$A21),DS_Demo_Sequence,DS_Demo_DataNames),"")</f>
        <v/>
      </c>
    </row>
    <row r="23" spans="1:9">
      <c r="A23" s="1257" t="s">
        <v>2034</v>
      </c>
      <c r="E23" s="1074" t="s">
        <v>2037</v>
      </c>
    </row>
    <row r="24" spans="1:9">
      <c r="A24" s="871" t="s">
        <v>2035</v>
      </c>
    </row>
    <row r="25" spans="1:9">
      <c r="A25" s="1166" t="s">
        <v>215</v>
      </c>
      <c r="B25" s="1556" t="b">
        <v>0</v>
      </c>
    </row>
    <row r="26" spans="1:9">
      <c r="A26" s="1166" t="s">
        <v>217</v>
      </c>
      <c r="B26" s="1556" t="b">
        <v>0</v>
      </c>
    </row>
    <row r="27" spans="1:9">
      <c r="A27" s="871" t="s">
        <v>2036</v>
      </c>
    </row>
    <row r="28" spans="1:9">
      <c r="A28" s="1166" t="s">
        <v>215</v>
      </c>
      <c r="B28" s="1556" t="b">
        <v>0</v>
      </c>
    </row>
    <row r="29" spans="1:9">
      <c r="A29" s="1166" t="s">
        <v>217</v>
      </c>
      <c r="B29" s="1556" t="b">
        <v>0</v>
      </c>
    </row>
    <row r="30" spans="1:9">
      <c r="A30" s="1166" t="s">
        <v>219</v>
      </c>
      <c r="B30" s="1556" t="b">
        <v>0</v>
      </c>
    </row>
    <row r="31" spans="1:9">
      <c r="A31" s="1166" t="s">
        <v>1945</v>
      </c>
      <c r="B31" s="1556" t="b">
        <v>0</v>
      </c>
    </row>
    <row r="32" spans="1:9">
      <c r="A32" s="1166" t="s">
        <v>1946</v>
      </c>
      <c r="B32" s="1556" t="b">
        <v>0</v>
      </c>
    </row>
    <row r="34" spans="1:6" ht="18" customHeight="1">
      <c r="A34" s="1257" t="s">
        <v>1215</v>
      </c>
      <c r="B34" s="1258" t="s">
        <v>4</v>
      </c>
      <c r="C34" s="1258" t="s">
        <v>5</v>
      </c>
      <c r="D34" s="1258" t="s">
        <v>6</v>
      </c>
      <c r="E34" s="1074" t="s">
        <v>1218</v>
      </c>
      <c r="F34" s="111" t="s">
        <v>2</v>
      </c>
    </row>
    <row r="35" spans="1:6">
      <c r="A35" s="104" t="s">
        <v>1223</v>
      </c>
      <c r="B35" s="102">
        <v>1</v>
      </c>
      <c r="C35" s="105">
        <f>IF(B35&lt;&gt;1,"",SUM(B$35:B35))</f>
        <v>1</v>
      </c>
      <c r="D35" s="102">
        <v>1</v>
      </c>
      <c r="F35" s="112" t="str">
        <f>IF(COUNTA($A35:$A$35)&lt;=MAX(DS_DevExpProgs_Sequence)=TRUE,LOOKUP(COUNTA($A35:$A$35),DS_DevExpProgs_Sequence,DS_DevExpProgs_DataNames),"")</f>
        <v>Housing Credits</v>
      </c>
    </row>
    <row r="36" spans="1:6">
      <c r="A36" s="104" t="s">
        <v>800</v>
      </c>
      <c r="B36" s="102">
        <v>1</v>
      </c>
      <c r="C36" s="105">
        <f>IF(B36&lt;&gt;1,"",SUM(B$35:B36))</f>
        <v>2</v>
      </c>
      <c r="D36" s="102">
        <v>2</v>
      </c>
      <c r="F36" s="112" t="str">
        <f>IF(COUNTA($A$35:$A36)&lt;=MAX(DS_DevExpProgs_Sequence)=TRUE,LOOKUP(COUNTA($A$35:$A36),DS_DevExpProgs_Sequence,DS_DevExpProgs_DataNames),"")</f>
        <v>Tax-Exempt Bonds</v>
      </c>
    </row>
    <row r="37" spans="1:6">
      <c r="A37" s="104" t="s">
        <v>559</v>
      </c>
      <c r="B37" s="102">
        <v>1</v>
      </c>
      <c r="C37" s="105">
        <f>IF(B37&lt;&gt;1,"",SUM(B$35:B37))</f>
        <v>3</v>
      </c>
      <c r="D37" s="102">
        <v>3</v>
      </c>
      <c r="F37" s="112" t="str">
        <f>IF(COUNTA($A$35:$A37)&lt;=MAX(DS_DevExpProgs_Sequence)=TRUE,LOOKUP(COUNTA($A$35:$A37),DS_DevExpProgs_Sequence,DS_DevExpProgs_DataNames),"")</f>
        <v>HOME</v>
      </c>
    </row>
    <row r="38" spans="1:6">
      <c r="A38" s="104" t="s">
        <v>1198</v>
      </c>
      <c r="B38" s="102">
        <v>1</v>
      </c>
      <c r="C38" s="105">
        <f>IF(B38&lt;&gt;1,"",SUM(B$35:B38))</f>
        <v>4</v>
      </c>
      <c r="D38" s="102">
        <v>4</v>
      </c>
      <c r="F38" s="112" t="str">
        <f>IF(COUNTA($A$35:$A38)&lt;=MAX(DS_DevExpProgs_Sequence)=TRUE,LOOKUP(COUNTA($A$35:$A38),DS_DevExpProgs_Sequence,DS_DevExpProgs_DataNames),"")</f>
        <v>CDBG-DR</v>
      </c>
    </row>
    <row r="39" spans="1:6">
      <c r="A39" s="104" t="s">
        <v>725</v>
      </c>
      <c r="B39" s="102">
        <v>1</v>
      </c>
      <c r="C39" s="105">
        <f>IF(B39&lt;&gt;1,"",SUM(B$35:B39))</f>
        <v>5</v>
      </c>
      <c r="D39" s="102">
        <v>5</v>
      </c>
      <c r="F39" s="112" t="str">
        <f>IF(COUNTA($A$35:$A39)&lt;=MAX(DS_DevExpProgs_Sequence)=TRUE,LOOKUP(COUNTA($A$35:$A39),DS_DevExpProgs_Sequence,DS_DevExpProgs_DataNames),"")</f>
        <v>NHTF</v>
      </c>
    </row>
    <row r="40" spans="1:6">
      <c r="A40" s="104" t="s">
        <v>1213</v>
      </c>
      <c r="B40" s="102">
        <v>1</v>
      </c>
      <c r="C40" s="105">
        <f>IF(B40&lt;&gt;1,"",SUM(B$35:B40))</f>
        <v>6</v>
      </c>
      <c r="D40" s="102">
        <v>6</v>
      </c>
      <c r="F40" s="112" t="str">
        <f>IF(COUNTA($A$35:$A40)&lt;=MAX(DS_DevExpProgs_Sequence)=TRUE,LOOKUP(COUNTA($A$35:$A40),DS_DevExpProgs_Sequence,DS_DevExpProgs_DataNames),"")</f>
        <v>HUD First Mortgage</v>
      </c>
    </row>
    <row r="41" spans="1:6">
      <c r="A41" s="104" t="s">
        <v>1201</v>
      </c>
      <c r="B41" s="102"/>
      <c r="C41" s="105" t="str">
        <f>IF(B41&lt;&gt;1,"",SUM(B$35:B41))</f>
        <v/>
      </c>
      <c r="D41" s="102">
        <v>7</v>
      </c>
      <c r="F41" s="112" t="str">
        <f>IF(COUNTA($A$35:$A41)&lt;=MAX(DS_DevExpProgs_Sequence)=TRUE,LOOKUP(COUNTA($A$35:$A41),DS_DevExpProgs_Sequence,DS_DevExpProgs_DataNames),"")</f>
        <v>Grant</v>
      </c>
    </row>
    <row r="42" spans="1:6">
      <c r="A42" s="104" t="s">
        <v>1212</v>
      </c>
      <c r="B42" s="102"/>
      <c r="C42" s="105" t="str">
        <f>IF(B42&lt;&gt;1,"",SUM(B$35:B42))</f>
        <v/>
      </c>
      <c r="D42" s="102">
        <v>8</v>
      </c>
      <c r="F42" s="112" t="str">
        <f>IF(COUNTA($A$35:$A42)&lt;=MAX(DS_DevExpProgs_Sequence)=TRUE,LOOKUP(COUNTA($A$35:$A42),DS_DevExpProgs_Sequence,DS_DevExpProgs_DataNames),"")</f>
        <v>RRLP</v>
      </c>
    </row>
    <row r="43" spans="1:6">
      <c r="A43" s="104" t="s">
        <v>1203</v>
      </c>
      <c r="B43" s="102"/>
      <c r="C43" s="105" t="str">
        <f>IF(B43&lt;&gt;1,"",SUM(B$35:B43))</f>
        <v/>
      </c>
      <c r="D43" s="102">
        <v>9</v>
      </c>
      <c r="F43" s="112" t="str">
        <f>IF(COUNTA($A$35:$A43)&lt;=MAX(DS_DevExpProgs_Sequence)=TRUE,LOOKUP(COUNTA($A$35:$A43),DS_DevExpProgs_Sequence,DS_DevExpProgs_DataNames),"")</f>
        <v>Other</v>
      </c>
    </row>
    <row r="44" spans="1:6">
      <c r="A44" s="104" t="s">
        <v>1204</v>
      </c>
      <c r="B44" s="102"/>
      <c r="C44" s="105" t="str">
        <f>IF(B44&lt;&gt;1,"",SUM(B$35:B44))</f>
        <v/>
      </c>
      <c r="D44" s="102">
        <v>10</v>
      </c>
      <c r="F44" s="112" t="str">
        <f>IF(COUNTA($A$35:$A44)&lt;=MAX(DS_DevExpProgs_Sequence)=TRUE,LOOKUP(COUNTA($A$35:$A44),DS_DevExpProgs_Sequence,DS_DevExpProgs_DataNames),"")</f>
        <v/>
      </c>
    </row>
    <row r="45" spans="1:6">
      <c r="A45" s="104" t="s">
        <v>1197</v>
      </c>
      <c r="B45" s="102"/>
      <c r="C45" s="105" t="str">
        <f>IF(B45&lt;&gt;1,"",SUM(B$35:B45))</f>
        <v/>
      </c>
      <c r="D45" s="102">
        <v>11</v>
      </c>
      <c r="F45" s="112" t="str">
        <f>IF(COUNTA($A$35:$A45)&lt;=MAX(DS_DevExpProgs_Sequence)=TRUE,LOOKUP(COUNTA($A$35:$A45),DS_DevExpProgs_Sequence,DS_DevExpProgs_DataNames),"")</f>
        <v/>
      </c>
    </row>
    <row r="46" spans="1:6">
      <c r="A46" s="104" t="s">
        <v>795</v>
      </c>
      <c r="B46" s="102"/>
      <c r="C46" s="105" t="str">
        <f>IF(B46&lt;&gt;1,"",SUM(B$35:B46))</f>
        <v/>
      </c>
      <c r="D46" s="102">
        <v>12</v>
      </c>
      <c r="F46" s="112" t="str">
        <f>IF(COUNTA($A$35:$A46)&lt;=MAX(DS_DevExpProgs_Sequence)=TRUE,LOOKUP(COUNTA($A$35:$A46),DS_DevExpProgs_Sequence,DS_DevExpProgs_DataNames),"")</f>
        <v/>
      </c>
    </row>
    <row r="47" spans="1:6">
      <c r="A47" s="104" t="s">
        <v>794</v>
      </c>
      <c r="B47" s="102"/>
      <c r="C47" s="105" t="str">
        <f>IF(B47&lt;&gt;1,"",SUM(B$35:B47))</f>
        <v/>
      </c>
      <c r="D47" s="102">
        <v>13</v>
      </c>
      <c r="F47" s="112" t="str">
        <f>IF(COUNTA($A$35:$A47)&lt;=MAX(DS_DevExpProgs_Sequence)=TRUE,LOOKUP(COUNTA($A$35:$A47),DS_DevExpProgs_Sequence,DS_DevExpProgs_DataNames),"")</f>
        <v/>
      </c>
    </row>
    <row r="48" spans="1:6">
      <c r="A48" s="104" t="s">
        <v>793</v>
      </c>
      <c r="B48" s="102"/>
      <c r="C48" s="105" t="str">
        <f>IF(B48&lt;&gt;1,"",SUM(B$35:B48))</f>
        <v/>
      </c>
      <c r="D48" s="102">
        <v>14</v>
      </c>
      <c r="F48" s="112" t="str">
        <f>IF(COUNTA($A$35:$A48)&lt;=MAX(DS_DevExpProgs_Sequence)=TRUE,LOOKUP(COUNTA($A$35:$A48),DS_DevExpProgs_Sequence,DS_DevExpProgs_DataNames),"")</f>
        <v/>
      </c>
    </row>
    <row r="49" spans="1:6">
      <c r="A49" s="104" t="s">
        <v>1199</v>
      </c>
      <c r="B49" s="102"/>
      <c r="C49" s="105" t="str">
        <f>IF(B49&lt;&gt;1,"",SUM(B$35:B49))</f>
        <v/>
      </c>
      <c r="D49" s="102">
        <v>15</v>
      </c>
      <c r="F49" s="112" t="str">
        <f>IF(COUNTA($A$35:$A49)&lt;=MAX(DS_DevExpProgs_Sequence)=TRUE,LOOKUP(COUNTA($A$35:$A49),DS_DevExpProgs_Sequence,DS_DevExpProgs_DataNames),"")</f>
        <v/>
      </c>
    </row>
    <row r="50" spans="1:6">
      <c r="A50" s="104" t="s">
        <v>1200</v>
      </c>
      <c r="B50" s="102"/>
      <c r="C50" s="105" t="str">
        <f>IF(B50&lt;&gt;1,"",SUM(B$35:B50))</f>
        <v/>
      </c>
      <c r="D50" s="102">
        <v>16</v>
      </c>
      <c r="F50" s="112" t="str">
        <f>IF(COUNTA($A$35:$A50)&lt;=MAX(DS_DevExpProgs_Sequence)=TRUE,LOOKUP(COUNTA($A$35:$A50),DS_DevExpProgs_Sequence,DS_DevExpProgs_DataNames),"")</f>
        <v/>
      </c>
    </row>
    <row r="51" spans="1:6">
      <c r="A51" s="104" t="s">
        <v>440</v>
      </c>
      <c r="B51" s="102"/>
      <c r="C51" s="105" t="str">
        <f>IF(B51&lt;&gt;1,"",SUM(B$35:B51))</f>
        <v/>
      </c>
      <c r="D51" s="102">
        <v>17</v>
      </c>
      <c r="F51" s="112" t="str">
        <f>IF(COUNTA($A$35:$A51)&lt;=MAX(DS_DevExpProgs_Sequence)=TRUE,LOOKUP(COUNTA($A$35:$A51),DS_DevExpProgs_Sequence,DS_DevExpProgs_DataNames),"")</f>
        <v/>
      </c>
    </row>
    <row r="52" spans="1:6">
      <c r="A52" s="104" t="s">
        <v>724</v>
      </c>
      <c r="B52" s="102"/>
      <c r="C52" s="105" t="str">
        <f>IF(B52&lt;&gt;1,"",SUM(B$35:B52))</f>
        <v/>
      </c>
      <c r="D52" s="102">
        <v>18</v>
      </c>
      <c r="F52" s="112" t="str">
        <f>IF(COUNTA($A$35:$A52)&lt;=MAX(DS_DevExpProgs_Sequence)=TRUE,LOOKUP(COUNTA($A$35:$A52),DS_DevExpProgs_Sequence,DS_DevExpProgs_DataNames),"")</f>
        <v/>
      </c>
    </row>
    <row r="53" spans="1:6">
      <c r="A53" s="104" t="s">
        <v>1202</v>
      </c>
      <c r="B53" s="102"/>
      <c r="C53" s="105" t="str">
        <f>IF(B53&lt;&gt;1,"",SUM(B$35:B53))</f>
        <v/>
      </c>
      <c r="D53" s="102">
        <v>19</v>
      </c>
      <c r="F53" s="112" t="str">
        <f>IF(COUNTA($A$35:$A53)&lt;=MAX(DS_DevExpProgs_Sequence)=TRUE,LOOKUP(COUNTA($A$35:$A53),DS_DevExpProgs_Sequence,DS_DevExpProgs_DataNames),"")</f>
        <v/>
      </c>
    </row>
    <row r="54" spans="1:6">
      <c r="A54" s="104" t="s">
        <v>966</v>
      </c>
      <c r="B54" s="102">
        <v>1</v>
      </c>
      <c r="C54" s="105">
        <f>IF(B54&lt;&gt;1,"",SUM(B$35:B54))</f>
        <v>7</v>
      </c>
      <c r="D54" s="102">
        <v>20</v>
      </c>
      <c r="F54" s="112" t="str">
        <f>IF(COUNTA($A$35:$A54)&lt;=MAX(DS_DevExpProgs_Sequence)=TRUE,LOOKUP(COUNTA($A$35:$A54),DS_DevExpProgs_Sequence,DS_DevExpProgs_DataNames),"")</f>
        <v/>
      </c>
    </row>
    <row r="55" spans="1:6">
      <c r="A55" s="104" t="s">
        <v>1214</v>
      </c>
      <c r="B55" s="102"/>
      <c r="C55" s="105" t="str">
        <f>IF(B55&lt;&gt;1,"",SUM(B$35:B55))</f>
        <v/>
      </c>
      <c r="D55" s="102">
        <v>21</v>
      </c>
      <c r="F55" s="112" t="str">
        <f>IF(COUNTA($A$35:$A55)&lt;=MAX(DS_DevExpProgs_Sequence)=TRUE,LOOKUP(COUNTA($A$35:$A55),DS_DevExpProgs_Sequence,DS_DevExpProgs_DataNames),"")</f>
        <v/>
      </c>
    </row>
    <row r="56" spans="1:6">
      <c r="A56" s="104" t="s">
        <v>1205</v>
      </c>
      <c r="B56" s="102"/>
      <c r="C56" s="105" t="str">
        <f>IF(B56&lt;&gt;1,"",SUM(B$35:B56))</f>
        <v/>
      </c>
      <c r="D56" s="102">
        <v>22</v>
      </c>
      <c r="F56" s="112" t="str">
        <f>IF(COUNTA($A$35:$A56)&lt;=MAX(DS_DevExpProgs_Sequence)=TRUE,LOOKUP(COUNTA($A$35:$A56),DS_DevExpProgs_Sequence,DS_DevExpProgs_DataNames),"")</f>
        <v/>
      </c>
    </row>
    <row r="57" spans="1:6">
      <c r="A57" s="104" t="s">
        <v>1206</v>
      </c>
      <c r="B57" s="102"/>
      <c r="C57" s="105" t="str">
        <f>IF(B57&lt;&gt;1,"",SUM(B$35:B57))</f>
        <v/>
      </c>
      <c r="D57" s="102">
        <v>23</v>
      </c>
      <c r="F57" s="112" t="str">
        <f>IF(COUNTA($A$35:$A57)&lt;=MAX(DS_DevExpProgs_Sequence)=TRUE,LOOKUP(COUNTA($A$35:$A57),DS_DevExpProgs_Sequence,DS_DevExpProgs_DataNames),"")</f>
        <v/>
      </c>
    </row>
    <row r="58" spans="1:6">
      <c r="A58" s="104" t="s">
        <v>1207</v>
      </c>
      <c r="B58" s="102">
        <v>1</v>
      </c>
      <c r="C58" s="105">
        <f>IF(B58&lt;&gt;1,"",SUM(B$35:B58))</f>
        <v>8</v>
      </c>
      <c r="D58" s="102">
        <v>24</v>
      </c>
      <c r="F58" s="112" t="str">
        <f>IF(COUNTA($A$35:$A58)&lt;=MAX(DS_DevExpProgs_Sequence)=TRUE,LOOKUP(COUNTA($A$35:$A58),DS_DevExpProgs_Sequence,DS_DevExpProgs_DataNames),"")</f>
        <v/>
      </c>
    </row>
    <row r="59" spans="1:6">
      <c r="A59" s="104" t="s">
        <v>437</v>
      </c>
      <c r="B59" s="102"/>
      <c r="C59" s="105" t="str">
        <f>IF(B59&lt;&gt;1,"",SUM(B$35:B59))</f>
        <v/>
      </c>
      <c r="D59" s="102">
        <v>25</v>
      </c>
      <c r="F59" s="112" t="str">
        <f>IF(COUNTA($A$35:$A59)&lt;=MAX(DS_DevExpProgs_Sequence)=TRUE,LOOKUP(COUNTA($A$35:$A59),DS_DevExpProgs_Sequence,DS_DevExpProgs_DataNames),"")</f>
        <v/>
      </c>
    </row>
    <row r="60" spans="1:6">
      <c r="A60" s="104" t="s">
        <v>1208</v>
      </c>
      <c r="B60" s="102"/>
      <c r="C60" s="105" t="str">
        <f>IF(B60&lt;&gt;1,"",SUM(B$35:B60))</f>
        <v/>
      </c>
      <c r="D60" s="102">
        <v>26</v>
      </c>
      <c r="F60" s="112" t="str">
        <f>IF(COUNTA($A$35:$A60)&lt;=MAX(DS_DevExpProgs_Sequence)=TRUE,LOOKUP(COUNTA($A$35:$A60),DS_DevExpProgs_Sequence,DS_DevExpProgs_DataNames),"")</f>
        <v/>
      </c>
    </row>
    <row r="61" spans="1:6">
      <c r="A61" s="104" t="s">
        <v>1209</v>
      </c>
      <c r="B61" s="102"/>
      <c r="C61" s="105" t="str">
        <f>IF(B61&lt;&gt;1,"",SUM(B$35:B61))</f>
        <v/>
      </c>
      <c r="D61" s="102">
        <v>27</v>
      </c>
      <c r="F61" s="112" t="str">
        <f>IF(COUNTA($A$35:$A61)&lt;=MAX(DS_DevExpProgs_Sequence)=TRUE,LOOKUP(COUNTA($A$35:$A61),DS_DevExpProgs_Sequence,DS_DevExpProgs_DataNames),"")</f>
        <v/>
      </c>
    </row>
    <row r="62" spans="1:6">
      <c r="A62" s="104" t="s">
        <v>1210</v>
      </c>
      <c r="B62" s="102"/>
      <c r="C62" s="105" t="str">
        <f>IF(B62&lt;&gt;1,"",SUM(B$35:B62))</f>
        <v/>
      </c>
      <c r="D62" s="102">
        <v>28</v>
      </c>
      <c r="F62" s="112" t="str">
        <f>IF(COUNTA($A$35:$A62)&lt;=MAX(DS_DevExpProgs_Sequence)=TRUE,LOOKUP(COUNTA($A$35:$A62),DS_DevExpProgs_Sequence,DS_DevExpProgs_DataNames),"")</f>
        <v/>
      </c>
    </row>
    <row r="63" spans="1:6">
      <c r="A63" s="104" t="s">
        <v>1211</v>
      </c>
      <c r="B63" s="102"/>
      <c r="C63" s="105" t="str">
        <f>IF(B63&lt;&gt;1,"",SUM(B$35:B63))</f>
        <v/>
      </c>
      <c r="D63" s="102">
        <v>29</v>
      </c>
      <c r="F63" s="112" t="str">
        <f>IF(COUNTA($A$35:$A63)&lt;=MAX(DS_DevExpProgs_Sequence)=TRUE,LOOKUP(COUNTA($A$35:$A63),DS_DevExpProgs_Sequence,DS_DevExpProgs_DataNames),"")</f>
        <v/>
      </c>
    </row>
    <row r="64" spans="1:6">
      <c r="A64" s="104" t="s">
        <v>15</v>
      </c>
      <c r="B64" s="102"/>
      <c r="C64" s="105" t="str">
        <f>IF(B64&lt;&gt;1,"",SUM(B$35:B64))</f>
        <v/>
      </c>
      <c r="D64" s="102">
        <v>30</v>
      </c>
      <c r="F64" s="112" t="str">
        <f>IF(COUNTA($A$35:$A64)&lt;=MAX(DS_DevExpProgs_Sequence)=TRUE,LOOKUP(COUNTA($A$35:$A64),DS_DevExpProgs_Sequence,DS_DevExpProgs_DataNames),"")</f>
        <v/>
      </c>
    </row>
    <row r="65" spans="1:6">
      <c r="A65" s="104" t="s">
        <v>119</v>
      </c>
      <c r="B65" s="102">
        <v>1</v>
      </c>
      <c r="C65" s="105">
        <f>IF(B65&lt;&gt;1,"",SUM(B$35:B65))</f>
        <v>9</v>
      </c>
      <c r="D65" s="102">
        <v>31</v>
      </c>
      <c r="F65" s="112" t="str">
        <f>IF(COUNTA($A$35:$A65)&lt;=MAX(DS_DevExpProgs_Sequence)=TRUE,LOOKUP(COUNTA($A$35:$A65),DS_DevExpProgs_Sequence,DS_DevExpProgs_DataNames),"")</f>
        <v/>
      </c>
    </row>
    <row r="66" spans="1:6">
      <c r="A66" s="104" t="s">
        <v>1298</v>
      </c>
      <c r="B66" s="102"/>
      <c r="C66" s="105" t="str">
        <f>IF(B66&lt;&gt;1,"",SUM(B$35:B66))</f>
        <v/>
      </c>
      <c r="D66" s="102">
        <v>32</v>
      </c>
      <c r="F66" s="112" t="str">
        <f>IF(COUNTA($A$35:$A66)&lt;=MAX(DS_DevExpProgs_Sequence)=TRUE,LOOKUP(COUNTA($A$35:$A66),DS_DevExpProgs_Sequence,DS_DevExpProgs_DataNames),"")</f>
        <v/>
      </c>
    </row>
    <row r="68" spans="1:6" ht="18" customHeight="1">
      <c r="A68" s="1257" t="s">
        <v>1220</v>
      </c>
      <c r="B68" s="109"/>
      <c r="C68" s="109"/>
      <c r="D68" s="109"/>
      <c r="E68" s="1260" t="s">
        <v>1218</v>
      </c>
      <c r="F68" s="112" t="s">
        <v>2</v>
      </c>
    </row>
    <row r="69" spans="1:6">
      <c r="A69" s="759" t="s">
        <v>1255</v>
      </c>
      <c r="B69" s="1061"/>
      <c r="C69" s="1061"/>
      <c r="D69" s="1061"/>
      <c r="E69" s="1259">
        <v>1</v>
      </c>
      <c r="F69" s="112" t="s">
        <v>1228</v>
      </c>
    </row>
    <row r="70" spans="1:6">
      <c r="A70" s="783" t="s">
        <v>1219</v>
      </c>
      <c r="B70" s="783"/>
      <c r="C70" s="783"/>
      <c r="D70" s="783"/>
      <c r="E70" s="1117">
        <v>37257</v>
      </c>
      <c r="F70" s="112" t="s">
        <v>1229</v>
      </c>
    </row>
    <row r="71" spans="1:6">
      <c r="A71" s="940" t="s">
        <v>1539</v>
      </c>
      <c r="B71" s="941"/>
      <c r="C71" s="941"/>
      <c r="D71" s="941"/>
      <c r="E71" s="103">
        <v>1</v>
      </c>
    </row>
    <row r="72" spans="1:6">
      <c r="A72" s="941" t="s">
        <v>1221</v>
      </c>
      <c r="B72" s="941"/>
      <c r="C72" s="941"/>
      <c r="D72" s="941"/>
      <c r="E72" s="1336" t="s">
        <v>2</v>
      </c>
    </row>
    <row r="73" spans="1:6">
      <c r="A73" s="1061" t="s">
        <v>1538</v>
      </c>
      <c r="B73" s="1061"/>
      <c r="C73" s="1061"/>
      <c r="D73" s="1061"/>
      <c r="E73" s="1118">
        <v>1</v>
      </c>
      <c r="F73" s="1062"/>
    </row>
    <row r="74" spans="1:6">
      <c r="A74" s="941" t="s">
        <v>1571</v>
      </c>
      <c r="B74" s="941"/>
      <c r="C74" s="941"/>
      <c r="D74" s="941"/>
      <c r="E74" s="1119">
        <v>0.5</v>
      </c>
    </row>
    <row r="75" spans="1:6">
      <c r="A75" s="941" t="s">
        <v>1226</v>
      </c>
      <c r="B75" s="941"/>
      <c r="C75" s="941"/>
      <c r="D75" s="941"/>
      <c r="E75" s="103">
        <v>12</v>
      </c>
    </row>
    <row r="76" spans="1:6">
      <c r="A76" s="941" t="s">
        <v>1227</v>
      </c>
      <c r="B76" s="941"/>
      <c r="C76" s="941"/>
      <c r="D76" s="941"/>
      <c r="E76" s="103" t="s">
        <v>1228</v>
      </c>
    </row>
    <row r="77" spans="1:6">
      <c r="A77" s="759" t="s">
        <v>1222</v>
      </c>
      <c r="B77" s="759"/>
      <c r="C77" s="759"/>
      <c r="D77" s="759"/>
      <c r="E77" s="1120">
        <v>1</v>
      </c>
      <c r="F77" s="1062"/>
    </row>
    <row r="79" spans="1:6" ht="18" customHeight="1">
      <c r="A79" s="1257" t="s">
        <v>581</v>
      </c>
      <c r="B79" s="1258" t="s">
        <v>4</v>
      </c>
      <c r="C79" s="1258" t="s">
        <v>5</v>
      </c>
      <c r="D79" s="1258" t="s">
        <v>6</v>
      </c>
      <c r="E79" s="1074" t="s">
        <v>1237</v>
      </c>
      <c r="F79" s="111" t="s">
        <v>2</v>
      </c>
    </row>
    <row r="80" spans="1:6">
      <c r="A80" s="104" t="s">
        <v>129</v>
      </c>
      <c r="B80" s="102">
        <v>1</v>
      </c>
      <c r="C80" s="105">
        <f>IF(B80&lt;&gt;1,"",SUM(B$80:B80))</f>
        <v>1</v>
      </c>
      <c r="D80" s="102">
        <v>1</v>
      </c>
      <c r="F80" s="165" t="str">
        <f>IF(COUNTA($A$80:$A80)&lt;=MAX(DS_Priority_Sequence)=TRUE,LOOKUP(COUNTA($A$80:$A80),DS_Priority_Sequence,DS_Priority_DataNames),"")</f>
        <v>Priority I</v>
      </c>
    </row>
    <row r="81" spans="1:6">
      <c r="A81" s="104" t="s">
        <v>130</v>
      </c>
      <c r="B81" s="102">
        <v>1</v>
      </c>
      <c r="C81" s="105">
        <f>IF(B81&lt;&gt;1,"",SUM(B$80:B81))</f>
        <v>2</v>
      </c>
      <c r="D81" s="102">
        <v>2</v>
      </c>
      <c r="F81" s="165" t="str">
        <f>IF(COUNTA($A$80:$A81)&lt;=MAX(DS_Priority_Sequence)=TRUE,LOOKUP(COUNTA($A$80:$A81),DS_Priority_Sequence,DS_Priority_DataNames),"")</f>
        <v>Priority II</v>
      </c>
    </row>
    <row r="83" spans="1:6" ht="18" customHeight="1">
      <c r="A83" s="1257" t="s">
        <v>135</v>
      </c>
      <c r="B83" s="1258" t="s">
        <v>4</v>
      </c>
      <c r="C83" s="1258" t="s">
        <v>5</v>
      </c>
      <c r="D83" s="1258" t="s">
        <v>6</v>
      </c>
      <c r="E83" s="1074" t="s">
        <v>1239</v>
      </c>
      <c r="F83" s="111" t="s">
        <v>2</v>
      </c>
    </row>
    <row r="84" spans="1:6">
      <c r="A84" s="104" t="s">
        <v>136</v>
      </c>
      <c r="B84" s="102">
        <v>1</v>
      </c>
      <c r="C84" s="105">
        <f>IF(B84&lt;&gt;1,"",SUM(B$84:B84))</f>
        <v>1</v>
      </c>
      <c r="D84" s="102">
        <v>1</v>
      </c>
      <c r="F84" s="111" t="str">
        <f>IF(COUNTA($A$84:$A84)&lt;=MAX(DS_States_Sequence)=TRUE,LOOKUP(COUNTA($A$84:$A84),DS_States_Sequence,DS_States_DataNames),"")</f>
        <v>AK</v>
      </c>
    </row>
    <row r="85" spans="1:6">
      <c r="A85" s="104" t="s">
        <v>137</v>
      </c>
      <c r="B85" s="102">
        <v>1</v>
      </c>
      <c r="C85" s="105">
        <f>IF(B85&lt;&gt;1,"",SUM(B$84:B85))</f>
        <v>2</v>
      </c>
      <c r="D85" s="102">
        <v>2</v>
      </c>
      <c r="F85" s="111" t="str">
        <f>IF(COUNTA($A$84:$A85)&lt;=MAX(DS_States_Sequence)=TRUE,LOOKUP(COUNTA($A$84:$A85),DS_States_Sequence,DS_States_DataNames),"")</f>
        <v>AL</v>
      </c>
    </row>
    <row r="86" spans="1:6">
      <c r="A86" s="104" t="s">
        <v>138</v>
      </c>
      <c r="B86" s="102">
        <v>1</v>
      </c>
      <c r="C86" s="105">
        <f>IF(B86&lt;&gt;1,"",SUM(B$84:B86))</f>
        <v>3</v>
      </c>
      <c r="D86" s="102">
        <v>3</v>
      </c>
      <c r="F86" s="111" t="str">
        <f>IF(COUNTA($A$84:$A86)&lt;=MAX(DS_States_Sequence)=TRUE,LOOKUP(COUNTA($A$84:$A86),DS_States_Sequence,DS_States_DataNames),"")</f>
        <v>AR</v>
      </c>
    </row>
    <row r="87" spans="1:6">
      <c r="A87" s="104" t="s">
        <v>139</v>
      </c>
      <c r="B87" s="102">
        <v>1</v>
      </c>
      <c r="C87" s="105">
        <f>IF(B87&lt;&gt;1,"",SUM(B$84:B87))</f>
        <v>4</v>
      </c>
      <c r="D87" s="102">
        <v>4</v>
      </c>
      <c r="F87" s="111" t="str">
        <f>IF(COUNTA($A$84:$A87)&lt;=MAX(DS_States_Sequence)=TRUE,LOOKUP(COUNTA($A$84:$A87),DS_States_Sequence,DS_States_DataNames),"")</f>
        <v>AZ</v>
      </c>
    </row>
    <row r="88" spans="1:6">
      <c r="A88" s="104" t="s">
        <v>140</v>
      </c>
      <c r="B88" s="102">
        <v>1</v>
      </c>
      <c r="C88" s="105">
        <f>IF(B88&lt;&gt;1,"",SUM(B$84:B88))</f>
        <v>5</v>
      </c>
      <c r="D88" s="102">
        <v>5</v>
      </c>
      <c r="F88" s="111" t="str">
        <f>IF(COUNTA($A$84:$A88)&lt;=MAX(DS_States_Sequence)=TRUE,LOOKUP(COUNTA($A$84:$A88),DS_States_Sequence,DS_States_DataNames),"")</f>
        <v>CA</v>
      </c>
    </row>
    <row r="89" spans="1:6">
      <c r="A89" s="104" t="s">
        <v>141</v>
      </c>
      <c r="B89" s="102">
        <v>1</v>
      </c>
      <c r="C89" s="105">
        <f>IF(B89&lt;&gt;1,"",SUM(B$84:B89))</f>
        <v>6</v>
      </c>
      <c r="D89" s="102">
        <v>6</v>
      </c>
      <c r="F89" s="111" t="str">
        <f>IF(COUNTA($A$84:$A89)&lt;=MAX(DS_States_Sequence)=TRUE,LOOKUP(COUNTA($A$84:$A89),DS_States_Sequence,DS_States_DataNames),"")</f>
        <v>CO</v>
      </c>
    </row>
    <row r="90" spans="1:6">
      <c r="A90" s="104" t="s">
        <v>142</v>
      </c>
      <c r="B90" s="102">
        <v>1</v>
      </c>
      <c r="C90" s="105">
        <f>IF(B90&lt;&gt;1,"",SUM(B$84:B90))</f>
        <v>7</v>
      </c>
      <c r="D90" s="102">
        <v>7</v>
      </c>
      <c r="F90" s="111" t="str">
        <f>IF(COUNTA($A$84:$A90)&lt;=MAX(DS_States_Sequence)=TRUE,LOOKUP(COUNTA($A$84:$A90),DS_States_Sequence,DS_States_DataNames),"")</f>
        <v>CT</v>
      </c>
    </row>
    <row r="91" spans="1:6">
      <c r="A91" s="116" t="s">
        <v>143</v>
      </c>
      <c r="B91" s="102">
        <v>1</v>
      </c>
      <c r="C91" s="105">
        <f>IF(B91&lt;&gt;1,"",SUM(B$84:B91))</f>
        <v>8</v>
      </c>
      <c r="D91" s="102">
        <v>8</v>
      </c>
      <c r="F91" s="111" t="str">
        <f>IF(COUNTA($A$84:$A91)&lt;=MAX(DS_States_Sequence)=TRUE,LOOKUP(COUNTA($A$84:$A91),DS_States_Sequence,DS_States_DataNames),"")</f>
        <v>DC</v>
      </c>
    </row>
    <row r="92" spans="1:6">
      <c r="A92" s="104" t="s">
        <v>144</v>
      </c>
      <c r="B92" s="102">
        <v>1</v>
      </c>
      <c r="C92" s="105">
        <f>IF(B92&lt;&gt;1,"",SUM(B$84:B92))</f>
        <v>9</v>
      </c>
      <c r="D92" s="102">
        <v>9</v>
      </c>
      <c r="F92" s="111" t="str">
        <f>IF(COUNTA($A$84:$A92)&lt;=MAX(DS_States_Sequence)=TRUE,LOOKUP(COUNTA($A$84:$A92),DS_States_Sequence,DS_States_DataNames),"")</f>
        <v>DE</v>
      </c>
    </row>
    <row r="93" spans="1:6">
      <c r="A93" s="104" t="s">
        <v>145</v>
      </c>
      <c r="B93" s="102">
        <v>1</v>
      </c>
      <c r="C93" s="105">
        <f>IF(B93&lt;&gt;1,"",SUM(B$84:B93))</f>
        <v>10</v>
      </c>
      <c r="D93" s="102">
        <v>10</v>
      </c>
      <c r="F93" s="111" t="str">
        <f>IF(COUNTA($A$84:$A93)&lt;=MAX(DS_States_Sequence)=TRUE,LOOKUP(COUNTA($A$84:$A93),DS_States_Sequence,DS_States_DataNames),"")</f>
        <v>FL</v>
      </c>
    </row>
    <row r="94" spans="1:6">
      <c r="A94" s="104" t="s">
        <v>146</v>
      </c>
      <c r="B94" s="102">
        <v>1</v>
      </c>
      <c r="C94" s="105">
        <f>IF(B94&lt;&gt;1,"",SUM(B$84:B94))</f>
        <v>11</v>
      </c>
      <c r="D94" s="102">
        <v>11</v>
      </c>
      <c r="F94" s="111" t="str">
        <f>IF(COUNTA($A$84:$A94)&lt;=MAX(DS_States_Sequence)=TRUE,LOOKUP(COUNTA($A$84:$A94),DS_States_Sequence,DS_States_DataNames),"")</f>
        <v>GA</v>
      </c>
    </row>
    <row r="95" spans="1:6">
      <c r="A95" s="104" t="s">
        <v>147</v>
      </c>
      <c r="B95" s="102">
        <v>1</v>
      </c>
      <c r="C95" s="105">
        <f>IF(B95&lt;&gt;1,"",SUM(B$84:B95))</f>
        <v>12</v>
      </c>
      <c r="D95" s="102">
        <v>12</v>
      </c>
      <c r="F95" s="111" t="str">
        <f>IF(COUNTA($A$84:$A95)&lt;=MAX(DS_States_Sequence)=TRUE,LOOKUP(COUNTA($A$84:$A95),DS_States_Sequence,DS_States_DataNames),"")</f>
        <v>HI</v>
      </c>
    </row>
    <row r="96" spans="1:6">
      <c r="A96" s="104" t="s">
        <v>148</v>
      </c>
      <c r="B96" s="102">
        <v>1</v>
      </c>
      <c r="C96" s="105">
        <f>IF(B96&lt;&gt;1,"",SUM(B$84:B96))</f>
        <v>13</v>
      </c>
      <c r="D96" s="102">
        <v>13</v>
      </c>
      <c r="F96" s="111" t="str">
        <f>IF(COUNTA($A$84:$A96)&lt;=MAX(DS_States_Sequence)=TRUE,LOOKUP(COUNTA($A$84:$A96),DS_States_Sequence,DS_States_DataNames),"")</f>
        <v>IA</v>
      </c>
    </row>
    <row r="97" spans="1:6">
      <c r="A97" s="104" t="s">
        <v>149</v>
      </c>
      <c r="B97" s="102">
        <v>1</v>
      </c>
      <c r="C97" s="105">
        <f>IF(B97&lt;&gt;1,"",SUM(B$84:B97))</f>
        <v>14</v>
      </c>
      <c r="D97" s="102">
        <v>14</v>
      </c>
      <c r="F97" s="111" t="str">
        <f>IF(COUNTA($A$84:$A97)&lt;=MAX(DS_States_Sequence)=TRUE,LOOKUP(COUNTA($A$84:$A97),DS_States_Sequence,DS_States_DataNames),"")</f>
        <v>ID</v>
      </c>
    </row>
    <row r="98" spans="1:6">
      <c r="A98" s="104" t="s">
        <v>150</v>
      </c>
      <c r="B98" s="102">
        <v>1</v>
      </c>
      <c r="C98" s="105">
        <f>IF(B98&lt;&gt;1,"",SUM(B$84:B98))</f>
        <v>15</v>
      </c>
      <c r="D98" s="102">
        <v>15</v>
      </c>
      <c r="F98" s="111" t="str">
        <f>IF(COUNTA($A$84:$A98)&lt;=MAX(DS_States_Sequence)=TRUE,LOOKUP(COUNTA($A$84:$A98),DS_States_Sequence,DS_States_DataNames),"")</f>
        <v>IL</v>
      </c>
    </row>
    <row r="99" spans="1:6">
      <c r="A99" s="104" t="s">
        <v>151</v>
      </c>
      <c r="B99" s="102">
        <v>1</v>
      </c>
      <c r="C99" s="105">
        <f>IF(B99&lt;&gt;1,"",SUM(B$84:B99))</f>
        <v>16</v>
      </c>
      <c r="D99" s="102">
        <v>16</v>
      </c>
      <c r="F99" s="111" t="str">
        <f>IF(COUNTA($A$84:$A99)&lt;=MAX(DS_States_Sequence)=TRUE,LOOKUP(COUNTA($A$84:$A99),DS_States_Sequence,DS_States_DataNames),"")</f>
        <v>IN</v>
      </c>
    </row>
    <row r="100" spans="1:6">
      <c r="A100" s="104" t="s">
        <v>152</v>
      </c>
      <c r="B100" s="102">
        <v>1</v>
      </c>
      <c r="C100" s="105">
        <f>IF(B100&lt;&gt;1,"",SUM(B$84:B100))</f>
        <v>17</v>
      </c>
      <c r="D100" s="102">
        <v>17</v>
      </c>
      <c r="F100" s="111" t="str">
        <f>IF(COUNTA($A$84:$A100)&lt;=MAX(DS_States_Sequence)=TRUE,LOOKUP(COUNTA($A$84:$A100),DS_States_Sequence,DS_States_DataNames),"")</f>
        <v>KS</v>
      </c>
    </row>
    <row r="101" spans="1:6">
      <c r="A101" s="104" t="s">
        <v>153</v>
      </c>
      <c r="B101" s="102">
        <v>1</v>
      </c>
      <c r="C101" s="105">
        <f>IF(B101&lt;&gt;1,"",SUM(B$84:B101))</f>
        <v>18</v>
      </c>
      <c r="D101" s="102">
        <v>18</v>
      </c>
      <c r="F101" s="111" t="str">
        <f>IF(COUNTA($A$84:$A101)&lt;=MAX(DS_States_Sequence)=TRUE,LOOKUP(COUNTA($A$84:$A101),DS_States_Sequence,DS_States_DataNames),"")</f>
        <v>KY</v>
      </c>
    </row>
    <row r="102" spans="1:6">
      <c r="A102" s="104" t="s">
        <v>154</v>
      </c>
      <c r="B102" s="102">
        <v>1</v>
      </c>
      <c r="C102" s="105">
        <f>IF(B102&lt;&gt;1,"",SUM(B$84:B102))</f>
        <v>19</v>
      </c>
      <c r="D102" s="102">
        <v>19</v>
      </c>
      <c r="F102" s="111" t="str">
        <f>IF(COUNTA($A$84:$A102)&lt;=MAX(DS_States_Sequence)=TRUE,LOOKUP(COUNTA($A$84:$A102),DS_States_Sequence,DS_States_DataNames),"")</f>
        <v>LA</v>
      </c>
    </row>
    <row r="103" spans="1:6">
      <c r="A103" s="104" t="s">
        <v>155</v>
      </c>
      <c r="B103" s="102">
        <v>1</v>
      </c>
      <c r="C103" s="105">
        <f>IF(B103&lt;&gt;1,"",SUM(B$84:B103))</f>
        <v>20</v>
      </c>
      <c r="D103" s="102">
        <v>20</v>
      </c>
      <c r="F103" s="111" t="str">
        <f>IF(COUNTA($A$84:$A103)&lt;=MAX(DS_States_Sequence)=TRUE,LOOKUP(COUNTA($A$84:$A103),DS_States_Sequence,DS_States_DataNames),"")</f>
        <v>MA</v>
      </c>
    </row>
    <row r="104" spans="1:6">
      <c r="A104" s="104" t="s">
        <v>156</v>
      </c>
      <c r="B104" s="102">
        <v>1</v>
      </c>
      <c r="C104" s="105">
        <f>IF(B104&lt;&gt;1,"",SUM(B$84:B104))</f>
        <v>21</v>
      </c>
      <c r="D104" s="102">
        <v>21</v>
      </c>
      <c r="F104" s="111" t="str">
        <f>IF(COUNTA($A$84:$A104)&lt;=MAX(DS_States_Sequence)=TRUE,LOOKUP(COUNTA($A$84:$A104),DS_States_Sequence,DS_States_DataNames),"")</f>
        <v>MD</v>
      </c>
    </row>
    <row r="105" spans="1:6">
      <c r="A105" s="104" t="s">
        <v>157</v>
      </c>
      <c r="B105" s="102">
        <v>1</v>
      </c>
      <c r="C105" s="105">
        <f>IF(B105&lt;&gt;1,"",SUM(B$84:B105))</f>
        <v>22</v>
      </c>
      <c r="D105" s="102">
        <v>22</v>
      </c>
      <c r="F105" s="111" t="str">
        <f>IF(COUNTA($A$84:$A105)&lt;=MAX(DS_States_Sequence)=TRUE,LOOKUP(COUNTA($A$84:$A105),DS_States_Sequence,DS_States_DataNames),"")</f>
        <v>ME</v>
      </c>
    </row>
    <row r="106" spans="1:6">
      <c r="A106" s="104" t="s">
        <v>158</v>
      </c>
      <c r="B106" s="102">
        <v>1</v>
      </c>
      <c r="C106" s="105">
        <f>IF(B106&lt;&gt;1,"",SUM(B$84:B106))</f>
        <v>23</v>
      </c>
      <c r="D106" s="102">
        <v>23</v>
      </c>
      <c r="F106" s="111" t="str">
        <f>IF(COUNTA($A$84:$A106)&lt;=MAX(DS_States_Sequence)=TRUE,LOOKUP(COUNTA($A$84:$A106),DS_States_Sequence,DS_States_DataNames),"")</f>
        <v>MI</v>
      </c>
    </row>
    <row r="107" spans="1:6">
      <c r="A107" s="104" t="s">
        <v>159</v>
      </c>
      <c r="B107" s="102">
        <v>1</v>
      </c>
      <c r="C107" s="105">
        <f>IF(B107&lt;&gt;1,"",SUM(B$84:B107))</f>
        <v>24</v>
      </c>
      <c r="D107" s="102">
        <v>24</v>
      </c>
      <c r="F107" s="111" t="str">
        <f>IF(COUNTA($A$84:$A107)&lt;=MAX(DS_States_Sequence)=TRUE,LOOKUP(COUNTA($A$84:$A107),DS_States_Sequence,DS_States_DataNames),"")</f>
        <v>MN</v>
      </c>
    </row>
    <row r="108" spans="1:6">
      <c r="A108" s="104" t="s">
        <v>160</v>
      </c>
      <c r="B108" s="102">
        <v>1</v>
      </c>
      <c r="C108" s="105">
        <f>IF(B108&lt;&gt;1,"",SUM(B$84:B108))</f>
        <v>25</v>
      </c>
      <c r="D108" s="102">
        <v>25</v>
      </c>
      <c r="F108" s="111" t="str">
        <f>IF(COUNTA($A$84:$A108)&lt;=MAX(DS_States_Sequence)=TRUE,LOOKUP(COUNTA($A$84:$A108),DS_States_Sequence,DS_States_DataNames),"")</f>
        <v>MO</v>
      </c>
    </row>
    <row r="109" spans="1:6">
      <c r="A109" s="104" t="s">
        <v>34</v>
      </c>
      <c r="B109" s="102">
        <v>1</v>
      </c>
      <c r="C109" s="105">
        <f>IF(B109&lt;&gt;1,"",SUM(B$84:B109))</f>
        <v>26</v>
      </c>
      <c r="D109" s="102">
        <v>26</v>
      </c>
      <c r="F109" s="111" t="str">
        <f>IF(COUNTA($A$84:$A109)&lt;=MAX(DS_States_Sequence)=TRUE,LOOKUP(COUNTA($A$84:$A109),DS_States_Sequence,DS_States_DataNames),"")</f>
        <v>MS</v>
      </c>
    </row>
    <row r="110" spans="1:6">
      <c r="A110" s="104" t="s">
        <v>161</v>
      </c>
      <c r="B110" s="102">
        <v>1</v>
      </c>
      <c r="C110" s="105">
        <f>IF(B110&lt;&gt;1,"",SUM(B$84:B110))</f>
        <v>27</v>
      </c>
      <c r="D110" s="102">
        <v>27</v>
      </c>
      <c r="F110" s="111" t="str">
        <f>IF(COUNTA($A$84:$A110)&lt;=MAX(DS_States_Sequence)=TRUE,LOOKUP(COUNTA($A$84:$A110),DS_States_Sequence,DS_States_DataNames),"")</f>
        <v>MT</v>
      </c>
    </row>
    <row r="111" spans="1:6">
      <c r="A111" s="104" t="s">
        <v>162</v>
      </c>
      <c r="B111" s="102">
        <v>1</v>
      </c>
      <c r="C111" s="105">
        <f>IF(B111&lt;&gt;1,"",SUM(B$84:B111))</f>
        <v>28</v>
      </c>
      <c r="D111" s="102">
        <v>28</v>
      </c>
      <c r="F111" s="111" t="str">
        <f>IF(COUNTA($A$84:$A111)&lt;=MAX(DS_States_Sequence)=TRUE,LOOKUP(COUNTA($A$84:$A111),DS_States_Sequence,DS_States_DataNames),"")</f>
        <v>NC</v>
      </c>
    </row>
    <row r="112" spans="1:6">
      <c r="A112" s="104" t="s">
        <v>163</v>
      </c>
      <c r="B112" s="102">
        <v>1</v>
      </c>
      <c r="C112" s="105">
        <f>IF(B112&lt;&gt;1,"",SUM(B$84:B112))</f>
        <v>29</v>
      </c>
      <c r="D112" s="102">
        <v>29</v>
      </c>
      <c r="F112" s="111" t="str">
        <f>IF(COUNTA($A$84:$A112)&lt;=MAX(DS_States_Sequence)=TRUE,LOOKUP(COUNTA($A$84:$A112),DS_States_Sequence,DS_States_DataNames),"")</f>
        <v>ND</v>
      </c>
    </row>
    <row r="113" spans="1:6">
      <c r="A113" s="104" t="s">
        <v>164</v>
      </c>
      <c r="B113" s="102">
        <v>1</v>
      </c>
      <c r="C113" s="105">
        <f>IF(B113&lt;&gt;1,"",SUM(B$84:B113))</f>
        <v>30</v>
      </c>
      <c r="D113" s="102">
        <v>30</v>
      </c>
      <c r="F113" s="111" t="str">
        <f>IF(COUNTA($A$84:$A113)&lt;=MAX(DS_States_Sequence)=TRUE,LOOKUP(COUNTA($A$84:$A113),DS_States_Sequence,DS_States_DataNames),"")</f>
        <v>NE</v>
      </c>
    </row>
    <row r="114" spans="1:6">
      <c r="A114" s="104" t="s">
        <v>165</v>
      </c>
      <c r="B114" s="102">
        <v>1</v>
      </c>
      <c r="C114" s="105">
        <f>IF(B114&lt;&gt;1,"",SUM(B$84:B114))</f>
        <v>31</v>
      </c>
      <c r="D114" s="102">
        <v>31</v>
      </c>
      <c r="F114" s="111" t="str">
        <f>IF(COUNTA($A$84:$A114)&lt;=MAX(DS_States_Sequence)=TRUE,LOOKUP(COUNTA($A$84:$A114),DS_States_Sequence,DS_States_DataNames),"")</f>
        <v>NH</v>
      </c>
    </row>
    <row r="115" spans="1:6">
      <c r="A115" s="104" t="s">
        <v>166</v>
      </c>
      <c r="B115" s="102">
        <v>1</v>
      </c>
      <c r="C115" s="105">
        <f>IF(B115&lt;&gt;1,"",SUM(B$84:B115))</f>
        <v>32</v>
      </c>
      <c r="D115" s="102">
        <v>32</v>
      </c>
      <c r="F115" s="111" t="str">
        <f>IF(COUNTA($A$84:$A115)&lt;=MAX(DS_States_Sequence)=TRUE,LOOKUP(COUNTA($A$84:$A115),DS_States_Sequence,DS_States_DataNames),"")</f>
        <v>NJ</v>
      </c>
    </row>
    <row r="116" spans="1:6">
      <c r="A116" s="104" t="s">
        <v>167</v>
      </c>
      <c r="B116" s="102">
        <v>1</v>
      </c>
      <c r="C116" s="105">
        <f>IF(B116&lt;&gt;1,"",SUM(B$84:B116))</f>
        <v>33</v>
      </c>
      <c r="D116" s="102">
        <v>33</v>
      </c>
      <c r="F116" s="111" t="str">
        <f>IF(COUNTA($A$84:$A116)&lt;=MAX(DS_States_Sequence)=TRUE,LOOKUP(COUNTA($A$84:$A116),DS_States_Sequence,DS_States_DataNames),"")</f>
        <v>NM</v>
      </c>
    </row>
    <row r="117" spans="1:6">
      <c r="A117" s="104" t="s">
        <v>168</v>
      </c>
      <c r="B117" s="102">
        <v>1</v>
      </c>
      <c r="C117" s="105">
        <f>IF(B117&lt;&gt;1,"",SUM(B$84:B117))</f>
        <v>34</v>
      </c>
      <c r="D117" s="102">
        <v>34</v>
      </c>
      <c r="F117" s="111" t="str">
        <f>IF(COUNTA($A$84:$A117)&lt;=MAX(DS_States_Sequence)=TRUE,LOOKUP(COUNTA($A$84:$A117),DS_States_Sequence,DS_States_DataNames),"")</f>
        <v>NV</v>
      </c>
    </row>
    <row r="118" spans="1:6">
      <c r="A118" s="104" t="s">
        <v>169</v>
      </c>
      <c r="B118" s="102">
        <v>1</v>
      </c>
      <c r="C118" s="105">
        <f>IF(B118&lt;&gt;1,"",SUM(B$84:B118))</f>
        <v>35</v>
      </c>
      <c r="D118" s="102">
        <v>35</v>
      </c>
      <c r="F118" s="111" t="str">
        <f>IF(COUNTA($A$84:$A118)&lt;=MAX(DS_States_Sequence)=TRUE,LOOKUP(COUNTA($A$84:$A118),DS_States_Sequence,DS_States_DataNames),"")</f>
        <v>NY</v>
      </c>
    </row>
    <row r="119" spans="1:6">
      <c r="A119" s="104" t="s">
        <v>170</v>
      </c>
      <c r="B119" s="102">
        <v>1</v>
      </c>
      <c r="C119" s="105">
        <f>IF(B119&lt;&gt;1,"",SUM(B$84:B119))</f>
        <v>36</v>
      </c>
      <c r="D119" s="102">
        <v>36</v>
      </c>
      <c r="F119" s="111" t="str">
        <f>IF(COUNTA($A$84:$A119)&lt;=MAX(DS_States_Sequence)=TRUE,LOOKUP(COUNTA($A$84:$A119),DS_States_Sequence,DS_States_DataNames),"")</f>
        <v>OH</v>
      </c>
    </row>
    <row r="120" spans="1:6">
      <c r="A120" s="104" t="s">
        <v>171</v>
      </c>
      <c r="B120" s="102">
        <v>1</v>
      </c>
      <c r="C120" s="105">
        <f>IF(B120&lt;&gt;1,"",SUM(B$84:B120))</f>
        <v>37</v>
      </c>
      <c r="D120" s="102">
        <v>37</v>
      </c>
      <c r="F120" s="111" t="str">
        <f>IF(COUNTA($A$84:$A120)&lt;=MAX(DS_States_Sequence)=TRUE,LOOKUP(COUNTA($A$84:$A120),DS_States_Sequence,DS_States_DataNames),"")</f>
        <v>OK</v>
      </c>
    </row>
    <row r="121" spans="1:6">
      <c r="A121" s="104" t="s">
        <v>172</v>
      </c>
      <c r="B121" s="102">
        <v>1</v>
      </c>
      <c r="C121" s="105">
        <f>IF(B121&lt;&gt;1,"",SUM(B$84:B121))</f>
        <v>38</v>
      </c>
      <c r="D121" s="102">
        <v>38</v>
      </c>
      <c r="F121" s="111" t="str">
        <f>IF(COUNTA($A$84:$A121)&lt;=MAX(DS_States_Sequence)=TRUE,LOOKUP(COUNTA($A$84:$A121),DS_States_Sequence,DS_States_DataNames),"")</f>
        <v>OR</v>
      </c>
    </row>
    <row r="122" spans="1:6">
      <c r="A122" s="104" t="s">
        <v>173</v>
      </c>
      <c r="B122" s="102">
        <v>1</v>
      </c>
      <c r="C122" s="105">
        <f>IF(B122&lt;&gt;1,"",SUM(B$84:B122))</f>
        <v>39</v>
      </c>
      <c r="D122" s="102">
        <v>39</v>
      </c>
      <c r="F122" s="111" t="str">
        <f>IF(COUNTA($A$84:$A122)&lt;=MAX(DS_States_Sequence)=TRUE,LOOKUP(COUNTA($A$84:$A122),DS_States_Sequence,DS_States_DataNames),"")</f>
        <v>PA</v>
      </c>
    </row>
    <row r="123" spans="1:6">
      <c r="A123" s="104" t="s">
        <v>174</v>
      </c>
      <c r="B123" s="102">
        <v>1</v>
      </c>
      <c r="C123" s="105">
        <f>IF(B123&lt;&gt;1,"",SUM(B$84:B123))</f>
        <v>40</v>
      </c>
      <c r="D123" s="102">
        <v>40</v>
      </c>
      <c r="F123" s="111" t="str">
        <f>IF(COUNTA($A$84:$A123)&lt;=MAX(DS_States_Sequence)=TRUE,LOOKUP(COUNTA($A$84:$A123),DS_States_Sequence,DS_States_DataNames),"")</f>
        <v>RI</v>
      </c>
    </row>
    <row r="124" spans="1:6">
      <c r="A124" s="104" t="s">
        <v>175</v>
      </c>
      <c r="B124" s="102">
        <v>1</v>
      </c>
      <c r="C124" s="105">
        <f>IF(B124&lt;&gt;1,"",SUM(B$84:B124))</f>
        <v>41</v>
      </c>
      <c r="D124" s="102">
        <v>41</v>
      </c>
      <c r="F124" s="111" t="str">
        <f>IF(COUNTA($A$84:$A124)&lt;=MAX(DS_States_Sequence)=TRUE,LOOKUP(COUNTA($A$84:$A124),DS_States_Sequence,DS_States_DataNames),"")</f>
        <v>SC</v>
      </c>
    </row>
    <row r="125" spans="1:6">
      <c r="A125" s="104" t="s">
        <v>176</v>
      </c>
      <c r="B125" s="102">
        <v>1</v>
      </c>
      <c r="C125" s="105">
        <f>IF(B125&lt;&gt;1,"",SUM(B$84:B125))</f>
        <v>42</v>
      </c>
      <c r="D125" s="102">
        <v>42</v>
      </c>
      <c r="F125" s="111" t="str">
        <f>IF(COUNTA($A$84:$A125)&lt;=MAX(DS_States_Sequence)=TRUE,LOOKUP(COUNTA($A$84:$A125),DS_States_Sequence,DS_States_DataNames),"")</f>
        <v>SD</v>
      </c>
    </row>
    <row r="126" spans="1:6">
      <c r="A126" s="104" t="s">
        <v>177</v>
      </c>
      <c r="B126" s="102">
        <v>1</v>
      </c>
      <c r="C126" s="105">
        <f>IF(B126&lt;&gt;1,"",SUM(B$84:B126))</f>
        <v>43</v>
      </c>
      <c r="D126" s="102">
        <v>43</v>
      </c>
      <c r="F126" s="111" t="str">
        <f>IF(COUNTA($A$84:$A126)&lt;=MAX(DS_States_Sequence)=TRUE,LOOKUP(COUNTA($A$84:$A126),DS_States_Sequence,DS_States_DataNames),"")</f>
        <v>TN</v>
      </c>
    </row>
    <row r="127" spans="1:6">
      <c r="A127" s="104" t="s">
        <v>178</v>
      </c>
      <c r="B127" s="102">
        <v>1</v>
      </c>
      <c r="C127" s="105">
        <f>IF(B127&lt;&gt;1,"",SUM(B$84:B127))</f>
        <v>44</v>
      </c>
      <c r="D127" s="102">
        <v>44</v>
      </c>
      <c r="F127" s="111" t="str">
        <f>IF(COUNTA($A$84:$A127)&lt;=MAX(DS_States_Sequence)=TRUE,LOOKUP(COUNTA($A$84:$A127),DS_States_Sequence,DS_States_DataNames),"")</f>
        <v>TX</v>
      </c>
    </row>
    <row r="128" spans="1:6">
      <c r="A128" s="104" t="s">
        <v>179</v>
      </c>
      <c r="B128" s="102">
        <v>1</v>
      </c>
      <c r="C128" s="105">
        <f>IF(B128&lt;&gt;1,"",SUM(B$84:B128))</f>
        <v>45</v>
      </c>
      <c r="D128" s="102">
        <v>45</v>
      </c>
      <c r="F128" s="111" t="str">
        <f>IF(COUNTA($A$84:$A128)&lt;=MAX(DS_States_Sequence)=TRUE,LOOKUP(COUNTA($A$84:$A128),DS_States_Sequence,DS_States_DataNames),"")</f>
        <v>UT</v>
      </c>
    </row>
    <row r="129" spans="1:6">
      <c r="A129" s="104" t="s">
        <v>180</v>
      </c>
      <c r="B129" s="102">
        <v>1</v>
      </c>
      <c r="C129" s="105">
        <f>IF(B129&lt;&gt;1,"",SUM(B$84:B129))</f>
        <v>46</v>
      </c>
      <c r="D129" s="102">
        <v>46</v>
      </c>
      <c r="F129" s="111" t="str">
        <f>IF(COUNTA($A$84:$A129)&lt;=MAX(DS_States_Sequence)=TRUE,LOOKUP(COUNTA($A$84:$A129),DS_States_Sequence,DS_States_DataNames),"")</f>
        <v>VA</v>
      </c>
    </row>
    <row r="130" spans="1:6">
      <c r="A130" s="104" t="s">
        <v>181</v>
      </c>
      <c r="B130" s="102">
        <v>1</v>
      </c>
      <c r="C130" s="105">
        <f>IF(B130&lt;&gt;1,"",SUM(B$84:B130))</f>
        <v>47</v>
      </c>
      <c r="D130" s="102">
        <v>47</v>
      </c>
      <c r="F130" s="111" t="str">
        <f>IF(COUNTA($A$84:$A130)&lt;=MAX(DS_States_Sequence)=TRUE,LOOKUP(COUNTA($A$84:$A130),DS_States_Sequence,DS_States_DataNames),"")</f>
        <v>VT</v>
      </c>
    </row>
    <row r="131" spans="1:6">
      <c r="A131" s="104" t="s">
        <v>182</v>
      </c>
      <c r="B131" s="102">
        <v>1</v>
      </c>
      <c r="C131" s="105">
        <f>IF(B131&lt;&gt;1,"",SUM(B$84:B131))</f>
        <v>48</v>
      </c>
      <c r="D131" s="102">
        <v>48</v>
      </c>
      <c r="F131" s="111" t="str">
        <f>IF(COUNTA($A$84:$A131)&lt;=MAX(DS_States_Sequence)=TRUE,LOOKUP(COUNTA($A$84:$A131),DS_States_Sequence,DS_States_DataNames),"")</f>
        <v>WA</v>
      </c>
    </row>
    <row r="132" spans="1:6">
      <c r="A132" s="104" t="s">
        <v>183</v>
      </c>
      <c r="B132" s="102">
        <v>1</v>
      </c>
      <c r="C132" s="105">
        <f>IF(B132&lt;&gt;1,"",SUM(B$84:B132))</f>
        <v>49</v>
      </c>
      <c r="D132" s="102">
        <v>49</v>
      </c>
      <c r="F132" s="111" t="str">
        <f>IF(COUNTA($A$84:$A132)&lt;=MAX(DS_States_Sequence)=TRUE,LOOKUP(COUNTA($A$84:$A132),DS_States_Sequence,DS_States_DataNames),"")</f>
        <v>WI</v>
      </c>
    </row>
    <row r="133" spans="1:6">
      <c r="A133" s="104" t="s">
        <v>184</v>
      </c>
      <c r="B133" s="102">
        <v>1</v>
      </c>
      <c r="C133" s="105">
        <f>IF(B133&lt;&gt;1,"",SUM(B$84:B133))</f>
        <v>50</v>
      </c>
      <c r="D133" s="102">
        <v>50</v>
      </c>
      <c r="F133" s="111" t="str">
        <f>IF(COUNTA($A$84:$A133)&lt;=MAX(DS_States_Sequence)=TRUE,LOOKUP(COUNTA($A$84:$A133),DS_States_Sequence,DS_States_DataNames),"")</f>
        <v>WV</v>
      </c>
    </row>
    <row r="134" spans="1:6">
      <c r="A134" s="104" t="s">
        <v>185</v>
      </c>
      <c r="B134" s="102">
        <v>1</v>
      </c>
      <c r="C134" s="105">
        <f>IF(B134&lt;&gt;1,"",SUM(B$84:B134))</f>
        <v>51</v>
      </c>
      <c r="D134" s="102">
        <v>51</v>
      </c>
      <c r="F134" s="111" t="str">
        <f>IF(COUNTA($A$84:$A134)&lt;=MAX(DS_States_Sequence)=TRUE,LOOKUP(COUNTA($A$84:$A134),DS_States_Sequence,DS_States_DataNames),"")</f>
        <v>WY</v>
      </c>
    </row>
    <row r="136" spans="1:6" ht="18" customHeight="1">
      <c r="A136" s="1257" t="s">
        <v>1246</v>
      </c>
      <c r="B136" s="108"/>
      <c r="C136" s="108"/>
      <c r="D136" s="108"/>
      <c r="E136" s="1260" t="s">
        <v>1240</v>
      </c>
      <c r="F136" s="389" t="s">
        <v>2</v>
      </c>
    </row>
    <row r="137" spans="1:6">
      <c r="A137" t="s">
        <v>1255</v>
      </c>
      <c r="E137" s="1259">
        <v>0</v>
      </c>
      <c r="F137" s="165" t="s">
        <v>186</v>
      </c>
    </row>
    <row r="138" spans="1:6">
      <c r="A138" t="s">
        <v>1225</v>
      </c>
      <c r="E138" s="647">
        <v>0.5</v>
      </c>
      <c r="F138" s="165" t="s">
        <v>187</v>
      </c>
    </row>
    <row r="139" spans="1:6">
      <c r="A139" t="s">
        <v>1254</v>
      </c>
      <c r="E139" s="646">
        <v>2</v>
      </c>
      <c r="F139" s="208"/>
    </row>
    <row r="141" spans="1:6" ht="18" customHeight="1">
      <c r="A141" s="1257" t="s">
        <v>1548</v>
      </c>
      <c r="B141" s="108"/>
      <c r="C141" s="108"/>
      <c r="D141" s="108"/>
      <c r="E141" s="1074" t="s">
        <v>1546</v>
      </c>
    </row>
    <row r="142" spans="1:6">
      <c r="A142" t="s">
        <v>1547</v>
      </c>
      <c r="F142" s="25" t="str">
        <f>IF(Authorized_Contact_Middle_Initial&lt;&gt;"",CONCATENATE(Authorized_Contact_First_Name," ",Authorized_Contact_Middle_Initial," ",Authorized_Contact_Last_Name),CONCATENATE(Authorized_Contact_First_Name," ",Authorized_Contact_Last_Name))</f>
        <v xml:space="preserve"> </v>
      </c>
    </row>
    <row r="143" spans="1:6">
      <c r="A143" t="s">
        <v>1549</v>
      </c>
      <c r="F143" s="25" t="str" cm="1">
        <f t="array" ref="F143">IF(Operational_Contact_Middle_Initial&lt;&gt;"",CONCATENATE(Operational_Contact_First_Name," ",Operational_Contact_Middle_Initial," ",Operational_Contact_Last_Name),CONCATENATE(Operational_Contact_First_Name," ",Operational_Contact_Last_Name))</f>
        <v xml:space="preserve"> </v>
      </c>
    </row>
    <row r="145" spans="1:6" ht="18" customHeight="1">
      <c r="A145" s="1257" t="s">
        <v>16</v>
      </c>
      <c r="B145" s="1258" t="s">
        <v>4</v>
      </c>
      <c r="C145" s="1258" t="s">
        <v>5</v>
      </c>
      <c r="D145" s="1258" t="s">
        <v>6</v>
      </c>
      <c r="E145" s="1074" t="s">
        <v>1230</v>
      </c>
      <c r="F145" s="111" t="s">
        <v>2</v>
      </c>
    </row>
    <row r="146" spans="1:6">
      <c r="A146" s="104" t="s">
        <v>17</v>
      </c>
      <c r="B146" s="102">
        <v>1</v>
      </c>
      <c r="C146" s="105">
        <f>IF(B146&lt;&gt;1,"",SUM(B$146:B146))</f>
        <v>1</v>
      </c>
      <c r="D146" s="102">
        <v>1</v>
      </c>
      <c r="F146" s="111" t="str">
        <f>IF(COUNTA($A$146:$A146)&lt;=MAX(DS_DevCat_Sequence)=TRUE,LOOKUP(COUNTA($A$146:$A146),DS_DevCat_Sequence,DS_DevCat_DataNames),"")</f>
        <v>New Construction</v>
      </c>
    </row>
    <row r="147" spans="1:6">
      <c r="A147" s="106" t="s">
        <v>18</v>
      </c>
      <c r="B147" s="103"/>
      <c r="C147" s="105" t="str">
        <f>IF(B147&lt;&gt;1,"",SUM(B$146:B147))</f>
        <v/>
      </c>
      <c r="D147" s="103">
        <v>2</v>
      </c>
      <c r="F147" s="111" t="str">
        <f>IF(COUNTA($A$146:$A147)&lt;=MAX(DS_DevCat_Sequence)=TRUE,LOOKUP(COUNTA($A$146:$A147),DS_DevCat_Sequence,DS_DevCat_DataNames),"")</f>
        <v/>
      </c>
    </row>
    <row r="148" spans="1:6">
      <c r="A148" s="106" t="s">
        <v>19</v>
      </c>
      <c r="B148" s="103"/>
      <c r="C148" s="105" t="str">
        <f>IF(B148&lt;&gt;1,"",SUM(B$146:B148))</f>
        <v/>
      </c>
      <c r="D148" s="103">
        <v>3</v>
      </c>
      <c r="F148" s="111" t="str">
        <f>IF(COUNTA($A$146:$A148)&lt;=MAX(DS_DevCat_Sequence)=TRUE,LOOKUP(COUNTA($A$146:$A148),DS_DevCat_Sequence,DS_DevCat_DataNames),"")</f>
        <v/>
      </c>
    </row>
    <row r="149" spans="1:6">
      <c r="A149" s="106" t="s">
        <v>20</v>
      </c>
      <c r="B149" s="103"/>
      <c r="C149" s="105" t="str">
        <f>IF(B149&lt;&gt;1,"",SUM(B$146:B149))</f>
        <v/>
      </c>
      <c r="D149" s="103">
        <v>4</v>
      </c>
      <c r="F149" s="111" t="str">
        <f>IF(COUNTA($A$146:$A149)&lt;=MAX(DS_DevCat_Sequence)=TRUE,LOOKUP(COUNTA($A$146:$A149),DS_DevCat_Sequence,DS_DevCat_DataNames),"")</f>
        <v/>
      </c>
    </row>
    <row r="150" spans="1:6">
      <c r="A150" s="106" t="s">
        <v>21</v>
      </c>
      <c r="B150" s="103"/>
      <c r="C150" s="105" t="str">
        <f>IF(B150&lt;&gt;1,"",SUM(B$146:B150))</f>
        <v/>
      </c>
      <c r="D150" s="103">
        <v>5</v>
      </c>
      <c r="F150" s="111" t="str">
        <f>IF(COUNTA($A$146:$A150)&lt;=MAX(DS_DevCat_Sequence)=TRUE,LOOKUP(COUNTA($A$146:$A150),DS_DevCat_Sequence,DS_DevCat_DataNames),"")</f>
        <v/>
      </c>
    </row>
    <row r="151" spans="1:6">
      <c r="A151" s="106" t="s">
        <v>22</v>
      </c>
      <c r="B151" s="103"/>
      <c r="C151" s="105" t="str">
        <f>IF(B151&lt;&gt;1,"",SUM(B$146:B151))</f>
        <v/>
      </c>
      <c r="D151" s="103">
        <v>6</v>
      </c>
      <c r="F151" s="111" t="str">
        <f>IF(COUNTA($A$146:$A151)&lt;=MAX(DS_DevCat_Sequence)=TRUE,LOOKUP(COUNTA($A$146:$A151),DS_DevCat_Sequence,DS_DevCat_DataNames),"")</f>
        <v/>
      </c>
    </row>
    <row r="152" spans="1:6">
      <c r="A152" s="106" t="s">
        <v>23</v>
      </c>
      <c r="B152" s="103"/>
      <c r="C152" s="105" t="str">
        <f>IF(B152&lt;&gt;1,"",SUM(B$146:B152))</f>
        <v/>
      </c>
      <c r="D152" s="103">
        <v>7</v>
      </c>
      <c r="F152" s="111" t="str">
        <f>IF(COUNTA($A$146:$A152)&lt;=MAX(DS_DevCat_Sequence)=TRUE,LOOKUP(COUNTA($A$146:$A152),DS_DevCat_Sequence,DS_DevCat_DataNames),"")</f>
        <v/>
      </c>
    </row>
    <row r="154" spans="1:6" ht="18" customHeight="1">
      <c r="A154" s="1257" t="s">
        <v>1267</v>
      </c>
      <c r="B154" s="1258" t="s">
        <v>4</v>
      </c>
      <c r="C154" s="1258" t="s">
        <v>5</v>
      </c>
      <c r="D154" s="1258" t="s">
        <v>6</v>
      </c>
      <c r="E154" s="1074" t="s">
        <v>1266</v>
      </c>
      <c r="F154" s="111" t="s">
        <v>2</v>
      </c>
    </row>
    <row r="155" spans="1:6">
      <c r="A155" s="104" t="s">
        <v>1268</v>
      </c>
      <c r="B155" s="102">
        <v>1</v>
      </c>
      <c r="C155" s="105">
        <f>IF(B155&lt;&gt;1,"",SUM(B$155:B155))</f>
        <v>1</v>
      </c>
      <c r="D155" s="102">
        <v>1</v>
      </c>
      <c r="F155" s="111" t="str">
        <f>IF(COUNTA($A$155:$A155)&lt;=MAX(DS_RA_Source_Sequence)=TRUE,LOOKUP(COUNTA($A$155:$A155),DS_RA_Source_Sequence,DS_RA_Source_DataNames),"")</f>
        <v>Section 202</v>
      </c>
    </row>
    <row r="156" spans="1:6">
      <c r="A156" s="684" t="s">
        <v>1269</v>
      </c>
      <c r="B156" s="103">
        <v>1</v>
      </c>
      <c r="C156" s="105">
        <f>IF(B156&lt;&gt;1,"",SUM(B$155:B156))</f>
        <v>2</v>
      </c>
      <c r="D156" s="103">
        <v>2</v>
      </c>
      <c r="F156" s="111" t="str">
        <f>IF(COUNTA($A$155:$A156)&lt;=MAX(DS_RA_Source_Sequence)=TRUE,LOOKUP(COUNTA($A$155:$A156),DS_RA_Source_Sequence,DS_RA_Source_DataNames),"")</f>
        <v>Section 236</v>
      </c>
    </row>
    <row r="157" spans="1:6">
      <c r="A157" s="104" t="s">
        <v>1272</v>
      </c>
      <c r="B157" s="103">
        <v>1</v>
      </c>
      <c r="C157" s="105">
        <f>IF(B157&lt;&gt;1,"",SUM(B$155:B157))</f>
        <v>3</v>
      </c>
      <c r="D157" s="103">
        <v>3</v>
      </c>
      <c r="F157" s="111" t="str">
        <f>IF(COUNTA($A$155:$A157)&lt;=MAX(DS_RA_Source_Sequence)=TRUE,LOOKUP(COUNTA($A$155:$A157),DS_RA_Source_Sequence,DS_RA_Source_DataNames),"")</f>
        <v>Section 811</v>
      </c>
    </row>
    <row r="158" spans="1:6">
      <c r="A158" s="684" t="s">
        <v>1270</v>
      </c>
      <c r="B158" s="103">
        <v>1</v>
      </c>
      <c r="C158" s="105">
        <f>IF(B158&lt;&gt;1,"",SUM(B$155:B158))</f>
        <v>4</v>
      </c>
      <c r="D158" s="103">
        <v>4</v>
      </c>
      <c r="F158" s="111" t="str">
        <f>IF(COUNTA($A$155:$A158)&lt;=MAX(DS_RA_Source_Sequence)=TRUE,LOOKUP(COUNTA($A$155:$A158),DS_RA_Source_Sequence,DS_RA_Source_DataNames),"")</f>
        <v>RD 514</v>
      </c>
    </row>
    <row r="159" spans="1:6">
      <c r="A159" s="104" t="s">
        <v>568</v>
      </c>
      <c r="B159" s="103">
        <v>1</v>
      </c>
      <c r="C159" s="105">
        <f>IF(B159&lt;&gt;1,"",SUM(B$155:B159))</f>
        <v>5</v>
      </c>
      <c r="D159" s="103">
        <v>5</v>
      </c>
      <c r="F159" s="111" t="str">
        <f>IF(COUNTA($A$155:$A159)&lt;=MAX(DS_RA_Source_Sequence)=TRUE,LOOKUP(COUNTA($A$155:$A159),DS_RA_Source_Sequence,DS_RA_Source_DataNames),"")</f>
        <v>RD 515</v>
      </c>
    </row>
    <row r="160" spans="1:6">
      <c r="A160" s="684" t="s">
        <v>1271</v>
      </c>
      <c r="B160" s="103">
        <v>1</v>
      </c>
      <c r="C160" s="105">
        <f>IF(B160&lt;&gt;1,"",SUM(B$155:B160))</f>
        <v>6</v>
      </c>
      <c r="D160" s="103">
        <v>6</v>
      </c>
      <c r="F160" s="111" t="str">
        <f>IF(COUNTA($A$155:$A160)&lt;=MAX(DS_RA_Source_Sequence)=TRUE,LOOKUP(COUNTA($A$155:$A160),DS_RA_Source_Sequence,DS_RA_Source_DataNames),"")</f>
        <v>RD 516</v>
      </c>
    </row>
    <row r="161" spans="1:24">
      <c r="A161" s="104" t="s">
        <v>119</v>
      </c>
      <c r="B161" s="103">
        <v>1</v>
      </c>
      <c r="C161" s="105">
        <f>IF(B161&lt;&gt;1,"",SUM(B$155:B161))</f>
        <v>7</v>
      </c>
      <c r="D161" s="103">
        <v>7</v>
      </c>
      <c r="F161" s="111" t="str">
        <f>IF(COUNTA($A$155:$A161)&lt;=MAX(DS_RA_Source_Sequence)=TRUE,LOOKUP(COUNTA($A$155:$A161),DS_RA_Source_Sequence,DS_RA_Source_DataNames),"")</f>
        <v>Other</v>
      </c>
    </row>
    <row r="162" spans="1:24">
      <c r="A162" s="802" t="s">
        <v>1462</v>
      </c>
      <c r="B162" s="966"/>
      <c r="C162" s="806"/>
      <c r="D162" s="968">
        <f>IF(Total_Units=0,0,SUM('Proposed Development Info'!F45:F47)/Total_Units)</f>
        <v>0</v>
      </c>
      <c r="E162" s="208"/>
      <c r="F162" s="969">
        <f>VALUE(IF(IF(Total_Units=0,0,SUM('Proposed Development Info'!F45:F47)/Total_Units)&lt;=10%,6,IF(IF(Total_Units=0,0,SUM('Proposed Development Info'!F45:F47)/Total_Units)&lt;=50%,5,IF(IF(Total_Units=0,0,SUM('Proposed Development Info'!F45:F47)/Total_Units)&lt;=75%,4,IF(IF(Total_Units=0,0,SUM('Proposed Development Info'!F45:F47)/Total_Units)&lt;=90%,3,IF(SUM('Proposed Development Info'!F45:F47)&lt;Total_Units-2,2,1))))))</f>
        <v>6</v>
      </c>
    </row>
    <row r="163" spans="1:24">
      <c r="A163" s="802" t="s">
        <v>1463</v>
      </c>
      <c r="B163" s="966"/>
      <c r="C163" s="806"/>
      <c r="D163" s="967">
        <f>SUM('Proposed Development Info'!F45:F47)</f>
        <v>0</v>
      </c>
      <c r="E163" s="208"/>
      <c r="F163" s="969" t="str">
        <f>IF(OR(SUM('Proposed Development Info'!F45:F47)&lt;=75,IF(Total_Units=0,0,SUM('Proposed Development Info'!F45:F47)/Total_Units)&lt;=50%),"NA",VALUE(IF(SUM('Proposed Development Info'!F45:F47)&lt;90,3,IF(SUM('Proposed Development Info'!F45:F47)&lt;100,2,1))))</f>
        <v>NA</v>
      </c>
    </row>
    <row r="164" spans="1:24">
      <c r="A164" s="802" t="s">
        <v>1464</v>
      </c>
      <c r="B164" s="966"/>
      <c r="C164" s="806"/>
      <c r="D164" s="967" t="str">
        <f>IF(F162&lt;IF(F163="NA",6,N(F163)),"Percent",IF(IF(F163="NA",6,N(F163))&lt;F162,"Num",IF(F162=IF(F163="NA",6,N(F163)),"Both","Neither")))</f>
        <v>Both</v>
      </c>
      <c r="E164" s="208"/>
      <c r="F164" s="969">
        <f>MIN(F162,IF(F163="NA",6,N(F163)))</f>
        <v>6</v>
      </c>
    </row>
    <row r="165" spans="1:24" ht="15" thickBot="1">
      <c r="A165" s="802"/>
      <c r="B165" s="966"/>
      <c r="C165" s="806"/>
      <c r="D165" s="967"/>
      <c r="E165" s="208"/>
      <c r="F165" s="969"/>
    </row>
    <row r="166" spans="1:24" ht="15" thickBot="1">
      <c r="A166" s="1257" t="s">
        <v>1574</v>
      </c>
      <c r="B166" s="108"/>
      <c r="C166" s="108"/>
      <c r="D166" s="108"/>
      <c r="E166" s="1074" t="s">
        <v>1573</v>
      </c>
      <c r="F166" s="969"/>
      <c r="G166" s="1755" t="s">
        <v>2139</v>
      </c>
      <c r="H166" s="1756"/>
      <c r="I166" s="1756"/>
      <c r="J166" s="1757"/>
      <c r="K166" s="1755" t="s">
        <v>2137</v>
      </c>
      <c r="L166" s="1756"/>
      <c r="M166" s="1756"/>
      <c r="N166" s="1757"/>
      <c r="O166" s="1758">
        <f>COUNTIF(K169:N173,1)</f>
        <v>0</v>
      </c>
      <c r="P166" s="1759"/>
      <c r="Q166" s="1759"/>
      <c r="R166" s="1760"/>
      <c r="S166" s="1755" t="s">
        <v>2138</v>
      </c>
      <c r="T166" s="1757"/>
      <c r="U166" s="1755" t="s">
        <v>2140</v>
      </c>
      <c r="V166" s="1757"/>
      <c r="W166" s="1755" t="s">
        <v>2150</v>
      </c>
      <c r="X166" s="1757"/>
    </row>
    <row r="167" spans="1:24">
      <c r="G167" s="1752" t="s">
        <v>17</v>
      </c>
      <c r="H167" s="1753"/>
      <c r="I167" s="1754" t="s">
        <v>18</v>
      </c>
      <c r="J167" s="1754"/>
      <c r="K167" s="1745" t="s">
        <v>17</v>
      </c>
      <c r="L167" s="1782"/>
      <c r="M167" s="1746" t="s">
        <v>18</v>
      </c>
      <c r="N167" s="1747"/>
      <c r="O167" s="1745" t="s">
        <v>17</v>
      </c>
      <c r="P167" s="1782"/>
      <c r="Q167" s="1746" t="s">
        <v>18</v>
      </c>
      <c r="R167" s="1747"/>
      <c r="S167" s="1764" t="s">
        <v>17</v>
      </c>
      <c r="T167" s="1765"/>
      <c r="U167" s="1764" t="s">
        <v>17</v>
      </c>
      <c r="V167" s="1765"/>
      <c r="W167" s="1764" t="s">
        <v>17</v>
      </c>
      <c r="X167" s="1765"/>
    </row>
    <row r="168" spans="1:24" ht="18" customHeight="1">
      <c r="B168" s="1249" t="s">
        <v>2142</v>
      </c>
      <c r="C168" s="1249" t="s">
        <v>2141</v>
      </c>
      <c r="F168" s="969"/>
      <c r="G168" s="1668" t="s">
        <v>2136</v>
      </c>
      <c r="H168" s="1665" t="s">
        <v>2135</v>
      </c>
      <c r="I168" s="222" t="s">
        <v>2136</v>
      </c>
      <c r="J168" s="222" t="s">
        <v>2135</v>
      </c>
      <c r="K168" s="1668" t="s">
        <v>2136</v>
      </c>
      <c r="L168" s="1676" t="s">
        <v>2135</v>
      </c>
      <c r="M168" s="222" t="s">
        <v>2136</v>
      </c>
      <c r="N168" s="1669" t="s">
        <v>2135</v>
      </c>
      <c r="O168" s="1677" t="s">
        <v>2136</v>
      </c>
      <c r="P168" s="1676" t="s">
        <v>2135</v>
      </c>
      <c r="Q168" s="1678" t="s">
        <v>2136</v>
      </c>
      <c r="R168" s="1679" t="s">
        <v>2135</v>
      </c>
      <c r="S168" s="1677" t="s">
        <v>2136</v>
      </c>
      <c r="T168" s="1679" t="s">
        <v>2135</v>
      </c>
      <c r="U168" s="1677" t="s">
        <v>2136</v>
      </c>
      <c r="V168" s="1679" t="s">
        <v>2135</v>
      </c>
      <c r="W168" s="1677" t="s">
        <v>2136</v>
      </c>
      <c r="X168" s="1679" t="s">
        <v>2135</v>
      </c>
    </row>
    <row r="169" spans="1:24">
      <c r="A169" s="108" t="s">
        <v>286</v>
      </c>
      <c r="B169" s="1129">
        <f>Garden_ESS_NC_units+Garden_non_ESS_NC_units+Garden_ESS_Rehab_units+Garden_non_ESS_Rehab_units</f>
        <v>0</v>
      </c>
      <c r="C169" s="167">
        <f>RANK(B169,B$169:B$173,0)</f>
        <v>1</v>
      </c>
      <c r="D169" s="1129"/>
      <c r="E169" s="1129"/>
      <c r="F169" s="969"/>
      <c r="G169" s="1670">
        <f>Garden_ESS_NC_units</f>
        <v>0</v>
      </c>
      <c r="H169" s="1666">
        <f>Garden_non_ESS_NC_units</f>
        <v>0</v>
      </c>
      <c r="I169" s="1109">
        <f>Garden_ESS_Rehab_units</f>
        <v>0</v>
      </c>
      <c r="J169" s="1109">
        <f>Garden_non_ESS_Rehab_units</f>
        <v>0</v>
      </c>
      <c r="K169" s="1670" t="str">
        <f>IF(G169=0,"",RANK(G169,$G$169:$J$173))</f>
        <v/>
      </c>
      <c r="L169" s="1666" t="str">
        <f>IF(H169=0,"",RANK(H169,$G$169:$J$173))</f>
        <v/>
      </c>
      <c r="M169" s="1109" t="str">
        <f>IF(I169=0,"",RANK(I169,$G$169:$J$173))</f>
        <v/>
      </c>
      <c r="N169" s="1671" t="str">
        <f>IF(J169=0,"",RANK(J169,$G$169:$J$173))</f>
        <v/>
      </c>
      <c r="O169" s="1680" t="str">
        <f>IF(K169=1,"New Construction Garden ESS Construction","")</f>
        <v/>
      </c>
      <c r="P169" s="1690" t="str">
        <f>IF(L169=1,"New Construction Garden Non-ESS Construction","")</f>
        <v/>
      </c>
      <c r="Q169" s="1681" t="str">
        <f>IF(M169=1,"Rehab Garden ESS Construction","")</f>
        <v/>
      </c>
      <c r="R169" s="1682" t="str">
        <f>IF(N169=1,"Rehab Garden Non-ESS Construction","")</f>
        <v/>
      </c>
      <c r="S169" s="1680" t="str">
        <f>IF(O169&lt;&gt;"",IF(OR(County="Broward",County="Miami-Dade",County="Palm Beach"),"SF","PF")&amp;"NCGAE","")</f>
        <v/>
      </c>
      <c r="T169" s="1696" t="str">
        <f>IF(P169&lt;&gt;"",IF(OR(County="Broward",County="Miami-Dade",County="Palm Beach"),"SF","PF")&amp;"NCGAW","")</f>
        <v/>
      </c>
      <c r="U169" s="1698" t="str">
        <f>IFERROR(VLOOKUP(S169,DS_MAX_NHTF,IF(Data3!L$104=Data3!J$178,8,9)),"")</f>
        <v/>
      </c>
      <c r="V169" s="1699" t="str">
        <f>IFERROR(VLOOKUP(T169,DS_MAX_NHTF,IF(Data3!M$104=Data3!K$178,8,9)),"")</f>
        <v/>
      </c>
      <c r="W169" s="1698">
        <f>IF(Data3!$L$104=Data3!$K$178,IF(OR(County="Broward",County="Miami-Dade",County="Palm Beach"),Data3!$K$187,Data3!$K$180),IF(OR(County="Broward",County="Miami-Dade",County="Palm Beach"),Data3!$J$187,Data3!$J$180))</f>
        <v>275000</v>
      </c>
      <c r="X169" s="1699">
        <f>IF(Data3!$L$104=Data3!$K$178,IF(OR(County="Broward",County="Miami-Dade",County="Palm Beach"),Data3!$K$188,Data3!$K$181),IF(OR(County="Broward",County="Miami-Dade",County="Palm Beach"),Data3!$J$188,Data3!$J$181))</f>
        <v>260000</v>
      </c>
    </row>
    <row r="170" spans="1:24">
      <c r="A170" s="108" t="s">
        <v>116</v>
      </c>
      <c r="B170" s="1129">
        <f>HR_ESS_NC_units+MR_and_HR_ESS_Rehab_units</f>
        <v>0</v>
      </c>
      <c r="C170" s="167">
        <f>RANK(B170,B$169:B$173,0)</f>
        <v>1</v>
      </c>
      <c r="D170" s="1129"/>
      <c r="E170" s="1129"/>
      <c r="F170" s="969"/>
      <c r="G170" s="1670">
        <f>HR_ESS_NC_units</f>
        <v>0</v>
      </c>
      <c r="H170" s="1667"/>
      <c r="I170" s="1761">
        <f>MR_and_HR_ESS_Rehab_units</f>
        <v>0</v>
      </c>
      <c r="J170" s="1762">
        <f>MR_and_HR_non_ESS_Rehab_units</f>
        <v>0</v>
      </c>
      <c r="K170" s="1670" t="str">
        <f>IF(G170=0,"",RANK(G170,$G$169:$J$173))</f>
        <v/>
      </c>
      <c r="L170" s="1667"/>
      <c r="M170" s="1762" t="str">
        <f>IF(I170=0,"",RANK(I170,$G$169:$J$173))</f>
        <v/>
      </c>
      <c r="N170" s="1763" t="str">
        <f>IF(J170=0,"",RANK(J170,$G$169:$J$173))</f>
        <v/>
      </c>
      <c r="O170" s="1683" t="str">
        <f>IF(K170=1,"New Construction High-Rise ESS Construction","")</f>
        <v/>
      </c>
      <c r="P170" s="1691"/>
      <c r="Q170" s="1681" t="str">
        <f>IF(M170=1,"Rehab Mid-Rise, High-Rise ESS Construction","")</f>
        <v/>
      </c>
      <c r="R170" s="1685" t="str">
        <f>IF(N170=1,"Rehab Mid-Rise, High-Rise Non-ESS Construction","")</f>
        <v/>
      </c>
      <c r="S170" s="1680" t="str">
        <f>IF(O170&lt;&gt;"",IF(OR(County="Broward",County="Miami-Dade",County="Palm Beach"),"SF","PF")&amp;"NCHRE","")</f>
        <v/>
      </c>
      <c r="T170" s="1686"/>
      <c r="U170" s="1698" t="str">
        <f>IFERROR(VLOOKUP(S170,DS_MAX_NHTF,IF(Data3!L$104=Data3!J$178,8,9)),"")</f>
        <v/>
      </c>
      <c r="V170" s="1700"/>
      <c r="W170" s="1698">
        <f>IF(Data3!$L$104=Data3!$K$178,IF(OR(County="Broward",County="Miami-Dade",County="Palm Beach"),Data3!$K$189,Data3!$K$182),IF(OR(County="Broward",County="Miami-Dade",County="Palm Beach"),Data3!$J$189,Data3!$J$182))</f>
        <v>335000</v>
      </c>
      <c r="X170" s="1700"/>
    </row>
    <row r="171" spans="1:24">
      <c r="A171" s="108" t="s">
        <v>289</v>
      </c>
      <c r="B171" s="1129">
        <f>MR_ESS_NC_units+MR_Non_ESS_NC_units+MR_and_HR_ESS_Rehab_units+MR_and_HR_non_ESS_Rehab_units</f>
        <v>0</v>
      </c>
      <c r="C171" s="167">
        <f>RANK(B171,B$169:B$173,0)</f>
        <v>1</v>
      </c>
      <c r="D171" s="1129"/>
      <c r="E171" s="1129"/>
      <c r="F171" s="969"/>
      <c r="G171" s="1670">
        <f>MR_ESS_NC_units</f>
        <v>0</v>
      </c>
      <c r="H171" s="1666">
        <f>MR_Non_ESS_NC_units</f>
        <v>0</v>
      </c>
      <c r="I171" s="1761"/>
      <c r="J171" s="1762"/>
      <c r="K171" s="1670" t="str">
        <f>IF(G171=0,"",RANK(G171,$G$169:$J$173))</f>
        <v/>
      </c>
      <c r="L171" s="1666" t="str">
        <f>IF(H171=0,"",RANK(H171,$G$169:$J$173))</f>
        <v/>
      </c>
      <c r="M171" s="1762"/>
      <c r="N171" s="1763"/>
      <c r="O171" s="1683" t="str">
        <f>IF(K171=1,"New Construction Mid-Rise ESS Construction","")</f>
        <v/>
      </c>
      <c r="P171" s="1692" t="str">
        <f>IF(L171=1,"New Construction Mid-Rise Non-ESS Construction","")</f>
        <v/>
      </c>
      <c r="Q171" s="1684"/>
      <c r="R171" s="1686"/>
      <c r="S171" s="1680" t="str">
        <f>IF(O171&lt;&gt;"",IF(OR(County="Broward",County="Miami-Dade",County="Palm Beach"),"SF","PF")&amp;"NCMRE","")</f>
        <v/>
      </c>
      <c r="T171" s="1696" t="str">
        <f>IF(P171&lt;&gt;"",IF(OR(County="Broward",County="Miami-Dade",County="Palm Beach"),"SF","PF")&amp;"NCMRW","")</f>
        <v/>
      </c>
      <c r="U171" s="1698" t="str">
        <f>IFERROR(VLOOKUP(S171,DS_MAX_NHTF,IF(Data3!L$104=Data3!J$178,8,9)),"")</f>
        <v/>
      </c>
      <c r="V171" s="1699" t="str">
        <f>IFERROR(VLOOKUP(T171,DS_MAX_NHTF,IF(Data3!M$104=Data3!K$178,8,9)),"")</f>
        <v/>
      </c>
      <c r="W171" s="1698">
        <f>IF(Data3!$L$104=Data3!$K$178,IF(OR(County="Broward",County="Miami-Dade",County="Palm Beach"),Data3!$K$190,Data3!$K$183),IF(OR(County="Broward",County="Miami-Dade",County="Palm Beach"),Data3!$J$190,Data3!$J$183))</f>
        <v>290000</v>
      </c>
      <c r="X171" s="1699">
        <f>IF(Data3!$L$104=Data3!$K$178,IF(OR(County="Broward",County="Miami-Dade",County="Palm Beach"),Data3!$K$191,Data3!$K$184),IF(OR(County="Broward",County="Miami-Dade",County="Palm Beach"),Data3!$J$191,Data3!$J$184))</f>
        <v>275000</v>
      </c>
    </row>
    <row r="172" spans="1:24">
      <c r="A172" s="108" t="s">
        <v>290</v>
      </c>
      <c r="B172" s="1129">
        <f>Other_ESS_NC_units+Other_Non_ESS_NC_units+Other_ESS_Rehab_units+Other_non_ESS_Rehab_units</f>
        <v>0</v>
      </c>
      <c r="C172" s="167">
        <f>RANK(B172,B$169:B$173,0)</f>
        <v>1</v>
      </c>
      <c r="D172" s="1129"/>
      <c r="E172" s="1129"/>
      <c r="F172" s="969"/>
      <c r="G172" s="1670">
        <f>Other_ESS_NC_units</f>
        <v>0</v>
      </c>
      <c r="H172" s="1666">
        <f>Other_Non_ESS_NC_units</f>
        <v>0</v>
      </c>
      <c r="I172" s="1109">
        <f>Other_ESS_Rehab_units</f>
        <v>0</v>
      </c>
      <c r="J172" s="1109">
        <f>Other_non_ESS_Rehab_units</f>
        <v>0</v>
      </c>
      <c r="K172" s="1670" t="str">
        <f>IF(G172=0,"",RANK(G172,$G$169:$J$173))</f>
        <v/>
      </c>
      <c r="L172" s="1666" t="str">
        <f>IF(H172=0,"",RANK(H172,$G$169:$J$173))</f>
        <v/>
      </c>
      <c r="M172" s="1109" t="str">
        <f>IF(I172=0,"",RANK(I172,$G$169:$J$173))</f>
        <v/>
      </c>
      <c r="N172" s="1671" t="str">
        <f>IF(J172=0,"",RANK(J172,$G$169:$J$173))</f>
        <v/>
      </c>
      <c r="O172" s="1680" t="str">
        <f>IF(K172=1,"New Construction Other Dev Type* ESS Construction","")</f>
        <v/>
      </c>
      <c r="P172" s="1692" t="str">
        <f>IF(L172=1,"New Construction Other Dev Type* Non-ESS Construction","")</f>
        <v/>
      </c>
      <c r="Q172" s="1681" t="str">
        <f>IF(M172=1,"Rehab Other Dev Type* ESS Construction","")</f>
        <v/>
      </c>
      <c r="R172" s="1685" t="str">
        <f>IF(N172=1,"Rehab Other Dev Type* Non-ESS Construction","")</f>
        <v/>
      </c>
      <c r="S172" s="1680" t="str">
        <f>IF(O172&lt;&gt;"",IF(OR(County="Broward",County="Miami-Dade",County="Palm Beach"),"SF","PF")&amp;"NCGAE","")</f>
        <v/>
      </c>
      <c r="T172" s="1696" t="str">
        <f>IF(P172&lt;&gt;"",IF(OR(County="Broward",County="Miami-Dade",County="Palm Beach"),"SF","PF")&amp;"NCGAW","")</f>
        <v/>
      </c>
      <c r="U172" s="1698" t="str">
        <f>IFERROR(VLOOKUP(S172,DS_MAX_NHTF,IF(Data3!L$104=Data3!J$178,8,9)),"")</f>
        <v/>
      </c>
      <c r="V172" s="1699" t="str">
        <f>IFERROR(VLOOKUP(T172,DS_MAX_NHTF,IF(Data3!M$104=Data3!K$178,8,9)),"")</f>
        <v/>
      </c>
      <c r="W172" s="1698">
        <f>W169</f>
        <v>275000</v>
      </c>
      <c r="X172" s="1699">
        <f>X169</f>
        <v>260000</v>
      </c>
    </row>
    <row r="173" spans="1:24" ht="15" thickBot="1">
      <c r="A173" s="1703" t="s">
        <v>109</v>
      </c>
      <c r="B173" s="1704">
        <f>SiF_ESS_NC_Units+SiF_Non_ESS_NC_Units</f>
        <v>0</v>
      </c>
      <c r="C173" s="1297">
        <f>RANK(B173,B$169:B$173,0)</f>
        <v>1</v>
      </c>
      <c r="D173" s="1704"/>
      <c r="E173" s="1129"/>
      <c r="F173" s="969"/>
      <c r="G173" s="1672">
        <f>SiF_ESS_NC_Units</f>
        <v>0</v>
      </c>
      <c r="H173" s="1673">
        <f>SiF_Non_ESS_NC_Units</f>
        <v>0</v>
      </c>
      <c r="I173" s="1674"/>
      <c r="J173" s="1674"/>
      <c r="K173" s="1672" t="str">
        <f>IF(G173=0,"",RANK(G173,$G$169:$J$173))</f>
        <v/>
      </c>
      <c r="L173" s="1673" t="str">
        <f>IF(H173=0,"",RANK(H173,$G$169:$J$173))</f>
        <v/>
      </c>
      <c r="M173" s="1674"/>
      <c r="N173" s="1675"/>
      <c r="O173" s="1687" t="str">
        <f>IF(K173=1,"New Construction Single Family ESS Construction","")</f>
        <v/>
      </c>
      <c r="P173" s="1693" t="str">
        <f>IF(L173=1,"New Construction Single Family Non-ESS Construction","")</f>
        <v/>
      </c>
      <c r="Q173" s="1688"/>
      <c r="R173" s="1689"/>
      <c r="S173" s="1695" t="str">
        <f>IF(O173&lt;&gt;"",IF(OR(County="Broward",County="Miami-Dade",County="Palm Beach"),"SF","PF")&amp;"NCGAE","")</f>
        <v/>
      </c>
      <c r="T173" s="1697" t="str">
        <f>IF(P173&lt;&gt;"",IF(OR(County="Broward",County="Miami-Dade",County="Palm Beach"),"SF","PF")&amp;"NCGAW","")</f>
        <v/>
      </c>
      <c r="U173" s="1698" t="str">
        <f>IFERROR(VLOOKUP(S173,DS_MAX_NHTF,IF(Data3!L$104=Data3!J$178,8,9)),"")</f>
        <v/>
      </c>
      <c r="V173" s="1699" t="str">
        <f>IFERROR(VLOOKUP(T173,DS_MAX_NHTF,IF(Data3!M$104=Data3!K$178,8,9)),"")</f>
        <v/>
      </c>
      <c r="W173" s="1701">
        <f>W169</f>
        <v>275000</v>
      </c>
      <c r="X173" s="1702">
        <f>X169</f>
        <v>260000</v>
      </c>
    </row>
    <row r="174" spans="1:24" ht="15" thickBot="1">
      <c r="A174" s="1705" t="str">
        <f>IF(DevType=A254,"Garden",IF(OR(DevType=A260,DevType=A261),"Mid-Rise",IF(OR(DevType=A256,DevType=A257,DevType=A258,DevType=A259,DevType=A263,DevType=A264,DevType=A265),"Other Dev Type*",DevType)))</f>
        <v>&lt;select one&gt;</v>
      </c>
      <c r="B174" s="1706">
        <f>IFERROR(VLOOKUP(A174,A169:C173,2),0)</f>
        <v>0</v>
      </c>
      <c r="C174" s="1707">
        <f>IFERROR(VLOOKUP(A174,A169:C173,3),1)</f>
        <v>1</v>
      </c>
      <c r="D174" s="1708" t="str">
        <f>IF(AND(A174&lt;&gt;"Other Dev Type*",VLOOKUP("Other Dev Type*",A169:C173,2)&gt;B174),VLOOKUP("Other Dev Type*",A169:C173,2)-B174,"NA")</f>
        <v>NA</v>
      </c>
      <c r="E174" s="167"/>
      <c r="F174" s="969"/>
      <c r="G174" s="1109"/>
      <c r="H174" s="1666"/>
      <c r="I174" s="167"/>
      <c r="J174" s="167"/>
      <c r="O174" s="1785" t="str">
        <f>IF(K169=1,O169&amp;IF(O166-1&gt;1,", ",IF(O166-1=1," and ","")),"")&amp;IF(K170=1,O170&amp;IF(O166-SUM(K169:K170)&gt;1,", ",IF(O166-SUM(K169:K170)=1," and ","")),"")&amp;IF(K171=1,O171&amp;IF(O166-SUM(K169:K171)&gt;1,", ",IF(O166-SUM(K169:K171)=1," and ","")),"")&amp;IF(K172=1,O172&amp;IF(O166-SUM(K169:K172)&gt;1,", ",IF(O166-SUM(K169:K172)=1," and ","")),"")&amp;IF(K173=1,O173&amp;IF(O166-SUM(K169:K173)&gt;1,", ",IF(O166-SUM(K169:K173)=1," and ","")),"")&amp;IF(K173=1,O173&amp;IF(O166-SUM(K169:K173)&gt;1,", ",IF(O166-SUM(K169:K173)=1," and ","")),"")&amp;IF(L169=1,P169&amp;IF(O166-SUM(K169:K173)-1&gt;1,", ",IF(O166-SUM(K169:K173)-1=1," and ","")),"")&amp;IF(L171=1,P171&amp;IF(O166-SUM(K169:K173)-SUM(L169:L171)&gt;1,", ",IF(O166-SUM(K169:K173)-SUM(L169:L171)=1," and ","")),"")&amp;IF(L172=1,P172&amp;IF(O166-SUM(K169:K173)-SUM(L169:L172)&gt;1,", ",IF(O166-SUM(K169:K173)-SUM(L169:L172)=1," and ","")),"")&amp;IF(L173=1,P173&amp;IF(O166-SUM(K169:K173)-SUM(L169:L173)&gt;1,", ",IF(O166-SUM(K169:K173)-SUM(L169:L173)=1," and ","")),"")&amp;IF(L173=1,P173&amp;IF(O166-SUM(K169:K173)-SUM(L169:L173)&gt;1,", ",IF(O166-SUM(K169:K173)-SUM(L169:L173)=1," and ","")),"")&amp;IF(M169=1,Q169&amp;IF(O166-SUM(K169:K173)-SUM(L169:L173)-1&gt;1,", ",IF(O166-SUM(K169:K173)-SUM(L169:L173)-1=1," and ","")),"")&amp;IF(M170=1,Q170&amp;IF(O166-SUM(K169:K173)-SUM(L169:L173)-SUM(M169:M170)&gt;1,", ",IF(O166-SUM(K169:K173)-SUM(L169:L173)-SUM(M169:M170)=1," and ","")),"")&amp;IF(M172=1,Q172&amp;IF(O166-SUM(K169:K173)-SUM(L169:L173)-SUM(M169:M172)&gt;1,", ",IF(O166-SUM(K169:K173)-SUM(L169:L173)-SUM(M169:M172)=1," and ","")),"")&amp;IF(N169=1,R169&amp;IF(O166-SUM(K169:K173)-SUM(L169:L173)-SUM(M169:M172)-1&gt;1,", ",IF(O166-SUM(K169:K173)-SUM(L169:L173)-SUM(M169:M172)-1=1," and ","")),"")&amp;IF(N170=1,R170&amp;IF(O166-SUM(K169:K173)-SUM(L169:L173)-SUM(M169:M172)-SUM(N169:N170)=1," and ",""),"")&amp;IF(N172=1,R172,"")</f>
        <v/>
      </c>
      <c r="P174" s="1786"/>
      <c r="Q174" s="1786"/>
      <c r="R174" s="1787"/>
      <c r="U174" s="1783">
        <f>IFERROR(AVERAGEIF(U169:V173,"&gt;0"),0)</f>
        <v>0</v>
      </c>
      <c r="V174" s="1784"/>
      <c r="W174" s="1780">
        <f>IF(SUM(G169:H173)=0,0,(G169*W169+G170*W170+G171*W171+G172*W172+G173*W173+H169*X169+H171*X171+H172*X172+H173*X173)/SUM(G169:H173))</f>
        <v>0</v>
      </c>
      <c r="X174" s="1781"/>
    </row>
    <row r="175" spans="1:24" ht="15" thickBot="1">
      <c r="O175" s="1788"/>
      <c r="P175" s="1789"/>
      <c r="Q175" s="1789"/>
      <c r="R175" s="1790"/>
      <c r="U175" s="1794">
        <f>MAX(U169:V173)</f>
        <v>0</v>
      </c>
      <c r="V175" s="1795"/>
    </row>
    <row r="176" spans="1:24" ht="18" customHeight="1">
      <c r="A176" s="1257" t="s">
        <v>24</v>
      </c>
      <c r="B176" s="1258" t="s">
        <v>4</v>
      </c>
      <c r="C176" s="1258" t="s">
        <v>5</v>
      </c>
      <c r="D176" s="1258" t="s">
        <v>6</v>
      </c>
      <c r="E176" s="1074" t="s">
        <v>1231</v>
      </c>
      <c r="F176" s="111" t="s">
        <v>2</v>
      </c>
      <c r="H176" s="113" t="s">
        <v>25</v>
      </c>
      <c r="I176" s="113" t="s">
        <v>26</v>
      </c>
      <c r="O176" s="1791"/>
      <c r="P176" s="1792"/>
      <c r="Q176" s="1792"/>
      <c r="R176" s="1793"/>
    </row>
    <row r="177" spans="1:9">
      <c r="A177" s="104" t="s">
        <v>27</v>
      </c>
      <c r="B177" s="102">
        <v>1</v>
      </c>
      <c r="C177" s="105">
        <f>IF(B177&lt;&gt;1,"",SUM(B$177:B177))</f>
        <v>1</v>
      </c>
      <c r="D177" s="102">
        <v>1</v>
      </c>
      <c r="F177" s="111" t="str">
        <f>IF(COUNTA($A$177:$A177)&lt;=MAX(DS_Counties_Sequence)=TRUE,LOOKUP(COUNTA($A$177:$A177),DS_Counties_Sequence,DS_Counties_DataNames),"")</f>
        <v>Alachua</v>
      </c>
      <c r="G177" s="454"/>
      <c r="H177" s="114" t="s">
        <v>28</v>
      </c>
      <c r="I177" s="114" t="s">
        <v>29</v>
      </c>
    </row>
    <row r="178" spans="1:9">
      <c r="A178" s="104" t="s">
        <v>30</v>
      </c>
      <c r="B178" s="102">
        <v>1</v>
      </c>
      <c r="C178" s="105">
        <f>IF(B178&lt;&gt;1,"",SUM(B$177:B178))</f>
        <v>2</v>
      </c>
      <c r="D178" s="102">
        <v>2</v>
      </c>
      <c r="F178" s="111" t="str">
        <f>IF(COUNTA($A$177:$A178)&lt;=MAX(DS_Counties_Sequence)=TRUE,LOOKUP(COUNTA($A$177:$A178),DS_Counties_Sequence,DS_Counties_DataNames),"")</f>
        <v>Baker</v>
      </c>
      <c r="G178" s="454"/>
      <c r="H178" s="115" t="s">
        <v>31</v>
      </c>
      <c r="I178" s="115" t="s">
        <v>32</v>
      </c>
    </row>
    <row r="179" spans="1:9">
      <c r="A179" s="104" t="s">
        <v>33</v>
      </c>
      <c r="B179" s="102">
        <v>1</v>
      </c>
      <c r="C179" s="105">
        <f>IF(B179&lt;&gt;1,"",SUM(B$177:B179))</f>
        <v>3</v>
      </c>
      <c r="D179" s="102">
        <v>3</v>
      </c>
      <c r="F179" s="111" t="str">
        <f>IF(COUNTA($A$177:$A179)&lt;=MAX(DS_Counties_Sequence)=TRUE,LOOKUP(COUNTA($A$177:$A179),DS_Counties_Sequence,DS_Counties_DataNames),"")</f>
        <v>Bay</v>
      </c>
      <c r="G179" s="454"/>
      <c r="H179" s="115" t="s">
        <v>28</v>
      </c>
      <c r="I179" s="115" t="s">
        <v>34</v>
      </c>
    </row>
    <row r="180" spans="1:9">
      <c r="A180" s="104" t="s">
        <v>35</v>
      </c>
      <c r="B180" s="102">
        <v>1</v>
      </c>
      <c r="C180" s="105">
        <f>IF(B180&lt;&gt;1,"",SUM(B$177:B180))</f>
        <v>4</v>
      </c>
      <c r="D180" s="102">
        <v>4</v>
      </c>
      <c r="F180" s="111" t="str">
        <f>IF(COUNTA($A$177:$A180)&lt;=MAX(DS_Counties_Sequence)=TRUE,LOOKUP(COUNTA($A$177:$A180),DS_Counties_Sequence,DS_Counties_DataNames),"")</f>
        <v>Bradford</v>
      </c>
      <c r="G180" s="454"/>
      <c r="H180" s="115" t="s">
        <v>31</v>
      </c>
      <c r="I180" s="115" t="s">
        <v>32</v>
      </c>
    </row>
    <row r="181" spans="1:9">
      <c r="A181" s="104" t="s">
        <v>36</v>
      </c>
      <c r="B181" s="102">
        <v>1</v>
      </c>
      <c r="C181" s="105">
        <f>IF(B181&lt;&gt;1,"",SUM(B$177:B181))</f>
        <v>5</v>
      </c>
      <c r="D181" s="102">
        <v>5</v>
      </c>
      <c r="F181" s="111" t="str">
        <f>IF(COUNTA($A$177:$A181)&lt;=MAX(DS_Counties_Sequence)=TRUE,LOOKUP(COUNTA($A$177:$A181),DS_Counties_Sequence,DS_Counties_DataNames),"")</f>
        <v>Brevard</v>
      </c>
      <c r="G181" s="454"/>
      <c r="H181" s="115" t="s">
        <v>28</v>
      </c>
      <c r="I181" s="115" t="s">
        <v>29</v>
      </c>
    </row>
    <row r="182" spans="1:9">
      <c r="A182" s="104" t="s">
        <v>37</v>
      </c>
      <c r="B182" s="102">
        <v>1</v>
      </c>
      <c r="C182" s="105">
        <f>IF(B182&lt;&gt;1,"",SUM(B$177:B182))</f>
        <v>6</v>
      </c>
      <c r="D182" s="102">
        <v>6</v>
      </c>
      <c r="F182" s="111" t="str">
        <f>IF(COUNTA($A$177:$A182)&lt;=MAX(DS_Counties_Sequence)=TRUE,LOOKUP(COUNTA($A$177:$A182),DS_Counties_Sequence,DS_Counties_DataNames),"")</f>
        <v>Broward</v>
      </c>
      <c r="G182" s="454"/>
      <c r="H182" s="115" t="s">
        <v>38</v>
      </c>
      <c r="I182" s="115" t="s">
        <v>39</v>
      </c>
    </row>
    <row r="183" spans="1:9">
      <c r="A183" s="104" t="s">
        <v>40</v>
      </c>
      <c r="B183" s="102">
        <v>1</v>
      </c>
      <c r="C183" s="105">
        <f>IF(B183&lt;&gt;1,"",SUM(B$177:B183))</f>
        <v>7</v>
      </c>
      <c r="D183" s="102">
        <v>7</v>
      </c>
      <c r="F183" s="111" t="str">
        <f>IF(COUNTA($A$177:$A183)&lt;=MAX(DS_Counties_Sequence)=TRUE,LOOKUP(COUNTA($A$177:$A183),DS_Counties_Sequence,DS_Counties_DataNames),"")</f>
        <v>Calhoun</v>
      </c>
      <c r="G183" s="454"/>
      <c r="H183" s="115" t="s">
        <v>31</v>
      </c>
      <c r="I183" s="115" t="s">
        <v>41</v>
      </c>
    </row>
    <row r="184" spans="1:9">
      <c r="A184" s="104" t="s">
        <v>42</v>
      </c>
      <c r="B184" s="102">
        <v>1</v>
      </c>
      <c r="C184" s="105">
        <f>IF(B184&lt;&gt;1,"",SUM(B$177:B184))</f>
        <v>8</v>
      </c>
      <c r="D184" s="102">
        <v>8</v>
      </c>
      <c r="F184" s="111" t="str">
        <f>IF(COUNTA($A$177:$A184)&lt;=MAX(DS_Counties_Sequence)=TRUE,LOOKUP(COUNTA($A$177:$A184),DS_Counties_Sequence,DS_Counties_DataNames),"")</f>
        <v>Charlotte</v>
      </c>
      <c r="G184" s="454"/>
      <c r="H184" s="115" t="s">
        <v>28</v>
      </c>
      <c r="I184" s="115" t="s">
        <v>34</v>
      </c>
    </row>
    <row r="185" spans="1:9">
      <c r="A185" s="104" t="s">
        <v>43</v>
      </c>
      <c r="B185" s="102">
        <v>1</v>
      </c>
      <c r="C185" s="105">
        <f>IF(B185&lt;&gt;1,"",SUM(B$177:B185))</f>
        <v>9</v>
      </c>
      <c r="D185" s="102">
        <v>9</v>
      </c>
      <c r="F185" s="111" t="str">
        <f>IF(COUNTA($A$177:$A185)&lt;=MAX(DS_Counties_Sequence)=TRUE,LOOKUP(COUNTA($A$177:$A185),DS_Counties_Sequence,DS_Counties_DataNames),"")</f>
        <v>Citrus</v>
      </c>
      <c r="G185" s="454"/>
      <c r="H185" s="115" t="s">
        <v>28</v>
      </c>
      <c r="I185" s="115" t="s">
        <v>34</v>
      </c>
    </row>
    <row r="186" spans="1:9">
      <c r="A186" s="104" t="s">
        <v>44</v>
      </c>
      <c r="B186" s="102">
        <v>1</v>
      </c>
      <c r="C186" s="105">
        <f>IF(B186&lt;&gt;1,"",SUM(B$177:B186))</f>
        <v>10</v>
      </c>
      <c r="D186" s="102">
        <v>10</v>
      </c>
      <c r="F186" s="111" t="str">
        <f>IF(COUNTA($A$177:$A186)&lt;=MAX(DS_Counties_Sequence)=TRUE,LOOKUP(COUNTA($A$177:$A186),DS_Counties_Sequence,DS_Counties_DataNames),"")</f>
        <v>Clay</v>
      </c>
      <c r="G186" s="454"/>
      <c r="H186" s="115" t="s">
        <v>28</v>
      </c>
      <c r="I186" s="115" t="s">
        <v>34</v>
      </c>
    </row>
    <row r="187" spans="1:9">
      <c r="A187" s="104" t="s">
        <v>45</v>
      </c>
      <c r="B187" s="102">
        <v>1</v>
      </c>
      <c r="C187" s="105">
        <f>IF(B187&lt;&gt;1,"",SUM(B$177:B187))</f>
        <v>11</v>
      </c>
      <c r="D187" s="102">
        <v>11</v>
      </c>
      <c r="F187" s="111" t="str">
        <f>IF(COUNTA($A$177:$A187)&lt;=MAX(DS_Counties_Sequence)=TRUE,LOOKUP(COUNTA($A$177:$A187),DS_Counties_Sequence,DS_Counties_DataNames),"")</f>
        <v>Collier</v>
      </c>
      <c r="G187" s="454"/>
      <c r="H187" s="115" t="s">
        <v>28</v>
      </c>
      <c r="I187" s="115" t="s">
        <v>29</v>
      </c>
    </row>
    <row r="188" spans="1:9">
      <c r="A188" s="104" t="s">
        <v>46</v>
      </c>
      <c r="B188" s="102">
        <v>1</v>
      </c>
      <c r="C188" s="105">
        <f>IF(B188&lt;&gt;1,"",SUM(B$177:B188))</f>
        <v>12</v>
      </c>
      <c r="D188" s="102">
        <v>12</v>
      </c>
      <c r="F188" s="111" t="str">
        <f>IF(COUNTA($A$177:$A188)&lt;=MAX(DS_Counties_Sequence)=TRUE,LOOKUP(COUNTA($A$177:$A188),DS_Counties_Sequence,DS_Counties_DataNames),"")</f>
        <v>Columbia</v>
      </c>
      <c r="G188" s="454"/>
      <c r="H188" s="115" t="s">
        <v>31</v>
      </c>
      <c r="I188" s="115" t="s">
        <v>47</v>
      </c>
    </row>
    <row r="189" spans="1:9">
      <c r="A189" s="104" t="s">
        <v>48</v>
      </c>
      <c r="B189" s="102">
        <v>1</v>
      </c>
      <c r="C189" s="105">
        <f>IF(B189&lt;&gt;1,"",SUM(B$177:B189))</f>
        <v>13</v>
      </c>
      <c r="D189" s="102">
        <v>13</v>
      </c>
      <c r="F189" s="111" t="str">
        <f>IF(COUNTA($A$177:$A189)&lt;=MAX(DS_Counties_Sequence)=TRUE,LOOKUP(COUNTA($A$177:$A189),DS_Counties_Sequence,DS_Counties_DataNames),"")</f>
        <v>DeSoto</v>
      </c>
      <c r="G189" s="454"/>
      <c r="H189" s="115" t="s">
        <v>31</v>
      </c>
      <c r="I189" s="115" t="s">
        <v>32</v>
      </c>
    </row>
    <row r="190" spans="1:9">
      <c r="A190" s="104" t="s">
        <v>49</v>
      </c>
      <c r="B190" s="102">
        <v>1</v>
      </c>
      <c r="C190" s="105">
        <f>IF(B190&lt;&gt;1,"",SUM(B$177:B190))</f>
        <v>14</v>
      </c>
      <c r="D190" s="102">
        <v>14</v>
      </c>
      <c r="F190" s="111" t="str">
        <f>IF(COUNTA($A$177:$A190)&lt;=MAX(DS_Counties_Sequence)=TRUE,LOOKUP(COUNTA($A$177:$A190),DS_Counties_Sequence,DS_Counties_DataNames),"")</f>
        <v>Dixie</v>
      </c>
      <c r="G190" s="454"/>
      <c r="H190" s="115" t="s">
        <v>31</v>
      </c>
      <c r="I190" s="115" t="s">
        <v>41</v>
      </c>
    </row>
    <row r="191" spans="1:9">
      <c r="A191" s="104" t="s">
        <v>50</v>
      </c>
      <c r="B191" s="102">
        <v>1</v>
      </c>
      <c r="C191" s="105">
        <f>IF(B191&lt;&gt;1,"",SUM(B$177:B191))</f>
        <v>15</v>
      </c>
      <c r="D191" s="102">
        <v>15</v>
      </c>
      <c r="F191" s="111" t="str">
        <f>IF(COUNTA($A$177:$A191)&lt;=MAX(DS_Counties_Sequence)=TRUE,LOOKUP(COUNTA($A$177:$A191),DS_Counties_Sequence,DS_Counties_DataNames),"")</f>
        <v>Duval</v>
      </c>
      <c r="G191" s="454"/>
      <c r="H191" s="115" t="s">
        <v>38</v>
      </c>
      <c r="I191" s="115" t="s">
        <v>51</v>
      </c>
    </row>
    <row r="192" spans="1:9">
      <c r="A192" s="104" t="s">
        <v>52</v>
      </c>
      <c r="B192" s="102">
        <v>1</v>
      </c>
      <c r="C192" s="105">
        <f>IF(B192&lt;&gt;1,"",SUM(B$177:B192))</f>
        <v>16</v>
      </c>
      <c r="D192" s="102">
        <v>16</v>
      </c>
      <c r="F192" s="111" t="str">
        <f>IF(COUNTA($A$177:$A192)&lt;=MAX(DS_Counties_Sequence)=TRUE,LOOKUP(COUNTA($A$177:$A192),DS_Counties_Sequence,DS_Counties_DataNames),"")</f>
        <v>Escambia</v>
      </c>
      <c r="G192" s="454"/>
      <c r="H192" s="115" t="s">
        <v>28</v>
      </c>
      <c r="I192" s="115" t="s">
        <v>29</v>
      </c>
    </row>
    <row r="193" spans="1:9">
      <c r="A193" s="104" t="s">
        <v>53</v>
      </c>
      <c r="B193" s="102">
        <v>1</v>
      </c>
      <c r="C193" s="105">
        <f>IF(B193&lt;&gt;1,"",SUM(B$177:B193))</f>
        <v>17</v>
      </c>
      <c r="D193" s="102">
        <v>17</v>
      </c>
      <c r="F193" s="111" t="str">
        <f>IF(COUNTA($A$177:$A193)&lt;=MAX(DS_Counties_Sequence)=TRUE,LOOKUP(COUNTA($A$177:$A193),DS_Counties_Sequence,DS_Counties_DataNames),"")</f>
        <v>Flagler</v>
      </c>
      <c r="G193" s="454"/>
      <c r="H193" s="115" t="s">
        <v>28</v>
      </c>
      <c r="I193" s="115" t="s">
        <v>34</v>
      </c>
    </row>
    <row r="194" spans="1:9">
      <c r="A194" s="104" t="s">
        <v>54</v>
      </c>
      <c r="B194" s="102">
        <v>1</v>
      </c>
      <c r="C194" s="105">
        <f>IF(B194&lt;&gt;1,"",SUM(B$177:B194))</f>
        <v>18</v>
      </c>
      <c r="D194" s="102">
        <v>18</v>
      </c>
      <c r="F194" s="111" t="str">
        <f>IF(COUNTA($A$177:$A194)&lt;=MAX(DS_Counties_Sequence)=TRUE,LOOKUP(COUNTA($A$177:$A194),DS_Counties_Sequence,DS_Counties_DataNames),"")</f>
        <v>Franklin</v>
      </c>
      <c r="G194" s="454"/>
      <c r="H194" s="115" t="s">
        <v>31</v>
      </c>
      <c r="I194" s="115" t="s">
        <v>41</v>
      </c>
    </row>
    <row r="195" spans="1:9">
      <c r="A195" s="104" t="s">
        <v>55</v>
      </c>
      <c r="B195" s="102">
        <v>1</v>
      </c>
      <c r="C195" s="105">
        <f>IF(B195&lt;&gt;1,"",SUM(B$177:B195))</f>
        <v>19</v>
      </c>
      <c r="D195" s="102">
        <v>19</v>
      </c>
      <c r="F195" s="111" t="str">
        <f>IF(COUNTA($A$177:$A195)&lt;=MAX(DS_Counties_Sequence)=TRUE,LOOKUP(COUNTA($A$177:$A195),DS_Counties_Sequence,DS_Counties_DataNames),"")</f>
        <v>Gadsden</v>
      </c>
      <c r="G195" s="454"/>
      <c r="H195" s="115" t="s">
        <v>31</v>
      </c>
      <c r="I195" s="115" t="s">
        <v>32</v>
      </c>
    </row>
    <row r="196" spans="1:9">
      <c r="A196" s="104" t="s">
        <v>56</v>
      </c>
      <c r="B196" s="102">
        <v>1</v>
      </c>
      <c r="C196" s="105">
        <f>IF(B196&lt;&gt;1,"",SUM(B$177:B196))</f>
        <v>20</v>
      </c>
      <c r="D196" s="102">
        <v>20</v>
      </c>
      <c r="F196" s="111" t="str">
        <f>IF(COUNTA($A$177:$A196)&lt;=MAX(DS_Counties_Sequence)=TRUE,LOOKUP(COUNTA($A$177:$A196),DS_Counties_Sequence,DS_Counties_DataNames),"")</f>
        <v>Gilchrist</v>
      </c>
      <c r="G196" s="454"/>
      <c r="H196" s="115" t="s">
        <v>31</v>
      </c>
      <c r="I196" s="115" t="s">
        <v>41</v>
      </c>
    </row>
    <row r="197" spans="1:9">
      <c r="A197" s="104" t="s">
        <v>57</v>
      </c>
      <c r="B197" s="102">
        <v>1</v>
      </c>
      <c r="C197" s="105">
        <f>IF(B197&lt;&gt;1,"",SUM(B$177:B197))</f>
        <v>21</v>
      </c>
      <c r="D197" s="102">
        <v>21</v>
      </c>
      <c r="F197" s="111" t="str">
        <f>IF(COUNTA($A$177:$A197)&lt;=MAX(DS_Counties_Sequence)=TRUE,LOOKUP(COUNTA($A$177:$A197),DS_Counties_Sequence,DS_Counties_DataNames),"")</f>
        <v>Glades</v>
      </c>
      <c r="G197" s="454"/>
      <c r="H197" s="115" t="s">
        <v>31</v>
      </c>
      <c r="I197" s="115" t="s">
        <v>41</v>
      </c>
    </row>
    <row r="198" spans="1:9">
      <c r="A198" s="104" t="s">
        <v>58</v>
      </c>
      <c r="B198" s="102">
        <v>1</v>
      </c>
      <c r="C198" s="105">
        <f>IF(B198&lt;&gt;1,"",SUM(B$177:B198))</f>
        <v>22</v>
      </c>
      <c r="D198" s="102">
        <v>22</v>
      </c>
      <c r="F198" s="111" t="str">
        <f>IF(COUNTA($A$177:$A198)&lt;=MAX(DS_Counties_Sequence)=TRUE,LOOKUP(COUNTA($A$177:$A198),DS_Counties_Sequence,DS_Counties_DataNames),"")</f>
        <v>Gulf</v>
      </c>
      <c r="G198" s="454"/>
      <c r="H198" s="115" t="s">
        <v>31</v>
      </c>
      <c r="I198" s="115" t="s">
        <v>41</v>
      </c>
    </row>
    <row r="199" spans="1:9">
      <c r="A199" s="104" t="s">
        <v>59</v>
      </c>
      <c r="B199" s="102">
        <v>1</v>
      </c>
      <c r="C199" s="105">
        <f>IF(B199&lt;&gt;1,"",SUM(B$177:B199))</f>
        <v>23</v>
      </c>
      <c r="D199" s="102">
        <v>23</v>
      </c>
      <c r="F199" s="111" t="str">
        <f>IF(COUNTA($A$177:$A199)&lt;=MAX(DS_Counties_Sequence)=TRUE,LOOKUP(COUNTA($A$177:$A199),DS_Counties_Sequence,DS_Counties_DataNames),"")</f>
        <v>Hamilton</v>
      </c>
      <c r="G199" s="454"/>
      <c r="H199" s="115" t="s">
        <v>31</v>
      </c>
      <c r="I199" s="115" t="s">
        <v>41</v>
      </c>
    </row>
    <row r="200" spans="1:9">
      <c r="A200" s="104" t="s">
        <v>60</v>
      </c>
      <c r="B200" s="102">
        <v>1</v>
      </c>
      <c r="C200" s="105">
        <f>IF(B200&lt;&gt;1,"",SUM(B$177:B200))</f>
        <v>24</v>
      </c>
      <c r="D200" s="102">
        <v>24</v>
      </c>
      <c r="F200" s="111" t="str">
        <f>IF(COUNTA($A$177:$A200)&lt;=MAX(DS_Counties_Sequence)=TRUE,LOOKUP(COUNTA($A$177:$A200),DS_Counties_Sequence,DS_Counties_DataNames),"")</f>
        <v>Hardee</v>
      </c>
      <c r="G200" s="454"/>
      <c r="H200" s="115" t="s">
        <v>31</v>
      </c>
      <c r="I200" s="115" t="s">
        <v>32</v>
      </c>
    </row>
    <row r="201" spans="1:9">
      <c r="A201" s="104" t="s">
        <v>61</v>
      </c>
      <c r="B201" s="102">
        <v>1</v>
      </c>
      <c r="C201" s="105">
        <f>IF(B201&lt;&gt;1,"",SUM(B$177:B201))</f>
        <v>25</v>
      </c>
      <c r="D201" s="102">
        <v>25</v>
      </c>
      <c r="F201" s="111" t="str">
        <f>IF(COUNTA($A$177:$A201)&lt;=MAX(DS_Counties_Sequence)=TRUE,LOOKUP(COUNTA($A$177:$A201),DS_Counties_Sequence,DS_Counties_DataNames),"")</f>
        <v>Hendry</v>
      </c>
      <c r="G201" s="454"/>
      <c r="H201" s="115" t="s">
        <v>31</v>
      </c>
      <c r="I201" s="115" t="s">
        <v>32</v>
      </c>
    </row>
    <row r="202" spans="1:9">
      <c r="A202" s="104" t="s">
        <v>62</v>
      </c>
      <c r="B202" s="102">
        <v>1</v>
      </c>
      <c r="C202" s="105">
        <f>IF(B202&lt;&gt;1,"",SUM(B$177:B202))</f>
        <v>26</v>
      </c>
      <c r="D202" s="102">
        <v>26</v>
      </c>
      <c r="F202" s="111" t="str">
        <f>IF(COUNTA($A$177:$A202)&lt;=MAX(DS_Counties_Sequence)=TRUE,LOOKUP(COUNTA($A$177:$A202),DS_Counties_Sequence,DS_Counties_DataNames),"")</f>
        <v>Hernando</v>
      </c>
      <c r="G202" s="454"/>
      <c r="H202" s="115" t="s">
        <v>28</v>
      </c>
      <c r="I202" s="115" t="s">
        <v>34</v>
      </c>
    </row>
    <row r="203" spans="1:9">
      <c r="A203" s="104" t="s">
        <v>63</v>
      </c>
      <c r="B203" s="102">
        <v>1</v>
      </c>
      <c r="C203" s="105">
        <f>IF(B203&lt;&gt;1,"",SUM(B$177:B203))</f>
        <v>27</v>
      </c>
      <c r="D203" s="102">
        <v>27</v>
      </c>
      <c r="F203" s="111" t="str">
        <f>IF(COUNTA($A$177:$A203)&lt;=MAX(DS_Counties_Sequence)=TRUE,LOOKUP(COUNTA($A$177:$A203),DS_Counties_Sequence,DS_Counties_DataNames),"")</f>
        <v>Highlands</v>
      </c>
      <c r="G203" s="454"/>
      <c r="H203" s="115" t="s">
        <v>28</v>
      </c>
      <c r="I203" s="115" t="s">
        <v>34</v>
      </c>
    </row>
    <row r="204" spans="1:9">
      <c r="A204" s="104" t="s">
        <v>64</v>
      </c>
      <c r="B204" s="102">
        <v>1</v>
      </c>
      <c r="C204" s="105">
        <f>IF(B204&lt;&gt;1,"",SUM(B$177:B204))</f>
        <v>28</v>
      </c>
      <c r="D204" s="102">
        <v>28</v>
      </c>
      <c r="F204" s="111" t="str">
        <f>IF(COUNTA($A$177:$A204)&lt;=MAX(DS_Counties_Sequence)=TRUE,LOOKUP(COUNTA($A$177:$A204),DS_Counties_Sequence,DS_Counties_DataNames),"")</f>
        <v>Hillsborough</v>
      </c>
      <c r="G204" s="454"/>
      <c r="H204" s="115" t="s">
        <v>38</v>
      </c>
      <c r="I204" s="115" t="s">
        <v>51</v>
      </c>
    </row>
    <row r="205" spans="1:9">
      <c r="A205" s="104" t="s">
        <v>65</v>
      </c>
      <c r="B205" s="102">
        <v>1</v>
      </c>
      <c r="C205" s="105">
        <f>IF(B205&lt;&gt;1,"",SUM(B$177:B205))</f>
        <v>29</v>
      </c>
      <c r="D205" s="102">
        <v>29</v>
      </c>
      <c r="F205" s="111" t="str">
        <f>IF(COUNTA($A$177:$A205)&lt;=MAX(DS_Counties_Sequence)=TRUE,LOOKUP(COUNTA($A$177:$A205),DS_Counties_Sequence,DS_Counties_DataNames),"")</f>
        <v>Holmes</v>
      </c>
      <c r="G205" s="454"/>
      <c r="H205" s="115" t="s">
        <v>31</v>
      </c>
      <c r="I205" s="115" t="s">
        <v>41</v>
      </c>
    </row>
    <row r="206" spans="1:9">
      <c r="A206" s="104" t="s">
        <v>66</v>
      </c>
      <c r="B206" s="102">
        <v>1</v>
      </c>
      <c r="C206" s="105">
        <f>IF(B206&lt;&gt;1,"",SUM(B$177:B206))</f>
        <v>30</v>
      </c>
      <c r="D206" s="102">
        <v>30</v>
      </c>
      <c r="F206" s="111" t="str">
        <f>IF(COUNTA($A$177:$A206)&lt;=MAX(DS_Counties_Sequence)=TRUE,LOOKUP(COUNTA($A$177:$A206),DS_Counties_Sequence,DS_Counties_DataNames),"")</f>
        <v>Indian River</v>
      </c>
      <c r="G206" s="454"/>
      <c r="H206" s="115" t="s">
        <v>28</v>
      </c>
      <c r="I206" s="115" t="s">
        <v>34</v>
      </c>
    </row>
    <row r="207" spans="1:9">
      <c r="A207" s="104" t="s">
        <v>67</v>
      </c>
      <c r="B207" s="102">
        <v>1</v>
      </c>
      <c r="C207" s="105">
        <f>IF(B207&lt;&gt;1,"",SUM(B$177:B207))</f>
        <v>31</v>
      </c>
      <c r="D207" s="102">
        <v>31</v>
      </c>
      <c r="F207" s="111" t="str">
        <f>IF(COUNTA($A$177:$A207)&lt;=MAX(DS_Counties_Sequence)=TRUE,LOOKUP(COUNTA($A$177:$A207),DS_Counties_Sequence,DS_Counties_DataNames),"")</f>
        <v>Jackson</v>
      </c>
      <c r="G207" s="454"/>
      <c r="H207" s="115" t="s">
        <v>31</v>
      </c>
      <c r="I207" s="115" t="s">
        <v>32</v>
      </c>
    </row>
    <row r="208" spans="1:9">
      <c r="A208" s="104" t="s">
        <v>68</v>
      </c>
      <c r="B208" s="102">
        <v>1</v>
      </c>
      <c r="C208" s="105">
        <f>IF(B208&lt;&gt;1,"",SUM(B$177:B208))</f>
        <v>32</v>
      </c>
      <c r="D208" s="102">
        <v>32</v>
      </c>
      <c r="F208" s="111" t="str">
        <f>IF(COUNTA($A$177:$A208)&lt;=MAX(DS_Counties_Sequence)=TRUE,LOOKUP(COUNTA($A$177:$A208),DS_Counties_Sequence,DS_Counties_DataNames),"")</f>
        <v>Jefferson</v>
      </c>
      <c r="G208" s="454"/>
      <c r="H208" s="115" t="s">
        <v>31</v>
      </c>
      <c r="I208" s="115" t="s">
        <v>41</v>
      </c>
    </row>
    <row r="209" spans="1:9">
      <c r="A209" s="104" t="s">
        <v>69</v>
      </c>
      <c r="B209" s="102">
        <v>1</v>
      </c>
      <c r="C209" s="105">
        <f>IF(B209&lt;&gt;1,"",SUM(B$177:B209))</f>
        <v>33</v>
      </c>
      <c r="D209" s="102">
        <v>33</v>
      </c>
      <c r="F209" s="111" t="str">
        <f>IF(COUNTA($A$177:$A209)&lt;=MAX(DS_Counties_Sequence)=TRUE,LOOKUP(COUNTA($A$177:$A209),DS_Counties_Sequence,DS_Counties_DataNames),"")</f>
        <v>Lafayette</v>
      </c>
      <c r="G209" s="454"/>
      <c r="H209" s="115" t="s">
        <v>31</v>
      </c>
      <c r="I209" s="115" t="s">
        <v>41</v>
      </c>
    </row>
    <row r="210" spans="1:9">
      <c r="A210" s="104" t="s">
        <v>70</v>
      </c>
      <c r="B210" s="102">
        <v>1</v>
      </c>
      <c r="C210" s="105">
        <f>IF(B210&lt;&gt;1,"",SUM(B$177:B210))</f>
        <v>34</v>
      </c>
      <c r="D210" s="102">
        <v>34</v>
      </c>
      <c r="F210" s="111" t="str">
        <f>IF(COUNTA($A$177:$A210)&lt;=MAX(DS_Counties_Sequence)=TRUE,LOOKUP(COUNTA($A$177:$A210),DS_Counties_Sequence,DS_Counties_DataNames),"")</f>
        <v>Lake</v>
      </c>
      <c r="G210" s="454"/>
      <c r="H210" s="115" t="s">
        <v>28</v>
      </c>
      <c r="I210" s="115" t="s">
        <v>29</v>
      </c>
    </row>
    <row r="211" spans="1:9">
      <c r="A211" s="104" t="s">
        <v>71</v>
      </c>
      <c r="B211" s="102">
        <v>1</v>
      </c>
      <c r="C211" s="105">
        <f>IF(B211&lt;&gt;1,"",SUM(B$177:B211))</f>
        <v>35</v>
      </c>
      <c r="D211" s="102">
        <v>35</v>
      </c>
      <c r="F211" s="111" t="str">
        <f>IF(COUNTA($A$177:$A211)&lt;=MAX(DS_Counties_Sequence)=TRUE,LOOKUP(COUNTA($A$177:$A211),DS_Counties_Sequence,DS_Counties_DataNames),"")</f>
        <v>Lee</v>
      </c>
      <c r="G211" s="454"/>
      <c r="H211" s="115" t="s">
        <v>28</v>
      </c>
      <c r="I211" s="115" t="s">
        <v>29</v>
      </c>
    </row>
    <row r="212" spans="1:9">
      <c r="A212" s="104" t="s">
        <v>72</v>
      </c>
      <c r="B212" s="102">
        <v>1</v>
      </c>
      <c r="C212" s="105">
        <f>IF(B212&lt;&gt;1,"",SUM(B$177:B212))</f>
        <v>36</v>
      </c>
      <c r="D212" s="102">
        <v>36</v>
      </c>
      <c r="F212" s="111" t="str">
        <f>IF(COUNTA($A$177:$A212)&lt;=MAX(DS_Counties_Sequence)=TRUE,LOOKUP(COUNTA($A$177:$A212),DS_Counties_Sequence,DS_Counties_DataNames),"")</f>
        <v>Leon</v>
      </c>
      <c r="G212" s="454"/>
      <c r="H212" s="115" t="s">
        <v>28</v>
      </c>
      <c r="I212" s="115" t="s">
        <v>29</v>
      </c>
    </row>
    <row r="213" spans="1:9">
      <c r="A213" s="104" t="s">
        <v>73</v>
      </c>
      <c r="B213" s="102">
        <v>1</v>
      </c>
      <c r="C213" s="105">
        <f>IF(B213&lt;&gt;1,"",SUM(B$177:B213))</f>
        <v>37</v>
      </c>
      <c r="D213" s="102">
        <v>37</v>
      </c>
      <c r="F213" s="111" t="str">
        <f>IF(COUNTA($A$177:$A213)&lt;=MAX(DS_Counties_Sequence)=TRUE,LOOKUP(COUNTA($A$177:$A213),DS_Counties_Sequence,DS_Counties_DataNames),"")</f>
        <v>Levy</v>
      </c>
      <c r="G213" s="454"/>
      <c r="H213" s="115" t="s">
        <v>31</v>
      </c>
      <c r="I213" s="115" t="s">
        <v>32</v>
      </c>
    </row>
    <row r="214" spans="1:9">
      <c r="A214" s="104" t="s">
        <v>74</v>
      </c>
      <c r="B214" s="102">
        <v>1</v>
      </c>
      <c r="C214" s="105">
        <f>IF(B214&lt;&gt;1,"",SUM(B$177:B214))</f>
        <v>38</v>
      </c>
      <c r="D214" s="102">
        <v>38</v>
      </c>
      <c r="F214" s="111" t="str">
        <f>IF(COUNTA($A$177:$A214)&lt;=MAX(DS_Counties_Sequence)=TRUE,LOOKUP(COUNTA($A$177:$A214),DS_Counties_Sequence,DS_Counties_DataNames),"")</f>
        <v>Liberty</v>
      </c>
      <c r="G214" s="454"/>
      <c r="H214" s="115" t="s">
        <v>31</v>
      </c>
      <c r="I214" s="115" t="s">
        <v>41</v>
      </c>
    </row>
    <row r="215" spans="1:9">
      <c r="A215" s="104" t="s">
        <v>75</v>
      </c>
      <c r="B215" s="102">
        <v>1</v>
      </c>
      <c r="C215" s="105">
        <f>IF(B215&lt;&gt;1,"",SUM(B$177:B215))</f>
        <v>39</v>
      </c>
      <c r="D215" s="102">
        <v>39</v>
      </c>
      <c r="F215" s="111" t="str">
        <f>IF(COUNTA($A$177:$A215)&lt;=MAX(DS_Counties_Sequence)=TRUE,LOOKUP(COUNTA($A$177:$A215),DS_Counties_Sequence,DS_Counties_DataNames),"")</f>
        <v>Madison</v>
      </c>
      <c r="G215" s="454"/>
      <c r="H215" s="115" t="s">
        <v>31</v>
      </c>
      <c r="I215" s="115" t="s">
        <v>41</v>
      </c>
    </row>
    <row r="216" spans="1:9">
      <c r="A216" s="104" t="s">
        <v>76</v>
      </c>
      <c r="B216" s="102">
        <v>1</v>
      </c>
      <c r="C216" s="105">
        <f>IF(B216&lt;&gt;1,"",SUM(B$177:B216))</f>
        <v>40</v>
      </c>
      <c r="D216" s="102">
        <v>40</v>
      </c>
      <c r="F216" s="111" t="str">
        <f>IF(COUNTA($A$177:$A216)&lt;=MAX(DS_Counties_Sequence)=TRUE,LOOKUP(COUNTA($A$177:$A216),DS_Counties_Sequence,DS_Counties_DataNames),"")</f>
        <v>Manatee</v>
      </c>
      <c r="G216" s="454"/>
      <c r="H216" s="115" t="s">
        <v>28</v>
      </c>
      <c r="I216" s="115" t="s">
        <v>29</v>
      </c>
    </row>
    <row r="217" spans="1:9">
      <c r="A217" s="104" t="s">
        <v>77</v>
      </c>
      <c r="B217" s="102">
        <v>1</v>
      </c>
      <c r="C217" s="105">
        <f>IF(B217&lt;&gt;1,"",SUM(B$177:B217))</f>
        <v>41</v>
      </c>
      <c r="D217" s="102">
        <v>41</v>
      </c>
      <c r="F217" s="111" t="str">
        <f>IF(COUNTA($A$177:$A217)&lt;=MAX(DS_Counties_Sequence)=TRUE,LOOKUP(COUNTA($A$177:$A217),DS_Counties_Sequence,DS_Counties_DataNames),"")</f>
        <v>Marion</v>
      </c>
      <c r="G217" s="454"/>
      <c r="H217" s="115" t="s">
        <v>28</v>
      </c>
      <c r="I217" s="115" t="s">
        <v>29</v>
      </c>
    </row>
    <row r="218" spans="1:9">
      <c r="A218" s="104" t="s">
        <v>78</v>
      </c>
      <c r="B218" s="102">
        <v>1</v>
      </c>
      <c r="C218" s="105">
        <f>IF(B218&lt;&gt;1,"",SUM(B$177:B218))</f>
        <v>42</v>
      </c>
      <c r="D218" s="102">
        <v>42</v>
      </c>
      <c r="F218" s="111" t="str">
        <f>IF(COUNTA($A$177:$A218)&lt;=MAX(DS_Counties_Sequence)=TRUE,LOOKUP(COUNTA($A$177:$A218),DS_Counties_Sequence,DS_Counties_DataNames),"")</f>
        <v>Martin</v>
      </c>
      <c r="G218" s="454"/>
      <c r="H218" s="115" t="s">
        <v>28</v>
      </c>
      <c r="I218" s="115" t="s">
        <v>34</v>
      </c>
    </row>
    <row r="219" spans="1:9">
      <c r="A219" s="104" t="s">
        <v>79</v>
      </c>
      <c r="B219" s="102">
        <v>1</v>
      </c>
      <c r="C219" s="105">
        <f>IF(B219&lt;&gt;1,"",SUM(B$177:B219))</f>
        <v>43</v>
      </c>
      <c r="D219" s="102">
        <v>43</v>
      </c>
      <c r="F219" s="111" t="str">
        <f>IF(COUNTA($A$177:$A219)&lt;=MAX(DS_Counties_Sequence)=TRUE,LOOKUP(COUNTA($A$177:$A219),DS_Counties_Sequence,DS_Counties_DataNames),"")</f>
        <v>Miami-Dade</v>
      </c>
      <c r="G219" s="454"/>
      <c r="H219" s="115" t="s">
        <v>38</v>
      </c>
      <c r="I219" s="115" t="s">
        <v>80</v>
      </c>
    </row>
    <row r="220" spans="1:9">
      <c r="A220" s="104" t="s">
        <v>81</v>
      </c>
      <c r="B220" s="102">
        <v>1</v>
      </c>
      <c r="C220" s="105">
        <f>IF(B220&lt;&gt;1,"",SUM(B$177:B220))</f>
        <v>44</v>
      </c>
      <c r="D220" s="102">
        <v>44</v>
      </c>
      <c r="F220" s="111" t="str">
        <f>IF(COUNTA($A$177:$A220)&lt;=MAX(DS_Counties_Sequence)=TRUE,LOOKUP(COUNTA($A$177:$A220),DS_Counties_Sequence,DS_Counties_DataNames),"")</f>
        <v>Monroe</v>
      </c>
      <c r="G220" s="454"/>
      <c r="H220" s="115" t="s">
        <v>31</v>
      </c>
      <c r="I220" s="115" t="s">
        <v>82</v>
      </c>
    </row>
    <row r="221" spans="1:9">
      <c r="A221" s="104" t="s">
        <v>83</v>
      </c>
      <c r="B221" s="102">
        <v>1</v>
      </c>
      <c r="C221" s="105">
        <f>IF(B221&lt;&gt;1,"",SUM(B$177:B221))</f>
        <v>45</v>
      </c>
      <c r="D221" s="102">
        <v>45</v>
      </c>
      <c r="F221" s="111" t="str">
        <f>IF(COUNTA($A$177:$A221)&lt;=MAX(DS_Counties_Sequence)=TRUE,LOOKUP(COUNTA($A$177:$A221),DS_Counties_Sequence,DS_Counties_DataNames),"")</f>
        <v>Nassau</v>
      </c>
      <c r="G221" s="454"/>
      <c r="H221" s="115" t="s">
        <v>31</v>
      </c>
      <c r="I221" s="115" t="s">
        <v>47</v>
      </c>
    </row>
    <row r="222" spans="1:9">
      <c r="A222" s="104" t="s">
        <v>84</v>
      </c>
      <c r="B222" s="102">
        <v>1</v>
      </c>
      <c r="C222" s="105">
        <f>IF(B222&lt;&gt;1,"",SUM(B$177:B222))</f>
        <v>46</v>
      </c>
      <c r="D222" s="102">
        <v>46</v>
      </c>
      <c r="F222" s="111" t="str">
        <f>IF(COUNTA($A$177:$A222)&lt;=MAX(DS_Counties_Sequence)=TRUE,LOOKUP(COUNTA($A$177:$A222),DS_Counties_Sequence,DS_Counties_DataNames),"")</f>
        <v>Okaloosa</v>
      </c>
      <c r="G222" s="454"/>
      <c r="H222" s="115" t="s">
        <v>28</v>
      </c>
      <c r="I222" s="115" t="s">
        <v>34</v>
      </c>
    </row>
    <row r="223" spans="1:9">
      <c r="A223" s="104" t="s">
        <v>85</v>
      </c>
      <c r="B223" s="102">
        <v>1</v>
      </c>
      <c r="C223" s="105">
        <f>IF(B223&lt;&gt;1,"",SUM(B$177:B223))</f>
        <v>47</v>
      </c>
      <c r="D223" s="102">
        <v>47</v>
      </c>
      <c r="F223" s="111" t="str">
        <f>IF(COUNTA($A$177:$A223)&lt;=MAX(DS_Counties_Sequence)=TRUE,LOOKUP(COUNTA($A$177:$A223),DS_Counties_Sequence,DS_Counties_DataNames),"")</f>
        <v>Okeechobee</v>
      </c>
      <c r="G223" s="454"/>
      <c r="H223" s="115" t="s">
        <v>31</v>
      </c>
      <c r="I223" s="115" t="s">
        <v>32</v>
      </c>
    </row>
    <row r="224" spans="1:9">
      <c r="A224" s="104" t="s">
        <v>86</v>
      </c>
      <c r="B224" s="102">
        <v>1</v>
      </c>
      <c r="C224" s="105">
        <f>IF(B224&lt;&gt;1,"",SUM(B$177:B224))</f>
        <v>48</v>
      </c>
      <c r="D224" s="102">
        <v>48</v>
      </c>
      <c r="F224" s="111" t="str">
        <f>IF(COUNTA($A$177:$A224)&lt;=MAX(DS_Counties_Sequence)=TRUE,LOOKUP(COUNTA($A$177:$A224),DS_Counties_Sequence,DS_Counties_DataNames),"")</f>
        <v>Orange</v>
      </c>
      <c r="G224" s="454"/>
      <c r="H224" s="115" t="s">
        <v>38</v>
      </c>
      <c r="I224" s="115" t="s">
        <v>51</v>
      </c>
    </row>
    <row r="225" spans="1:9">
      <c r="A225" s="104" t="s">
        <v>87</v>
      </c>
      <c r="B225" s="102">
        <v>1</v>
      </c>
      <c r="C225" s="105">
        <f>IF(B225&lt;&gt;1,"",SUM(B$177:B225))</f>
        <v>49</v>
      </c>
      <c r="D225" s="102">
        <v>49</v>
      </c>
      <c r="F225" s="111" t="str">
        <f>IF(COUNTA($A$177:$A225)&lt;=MAX(DS_Counties_Sequence)=TRUE,LOOKUP(COUNTA($A$177:$A225),DS_Counties_Sequence,DS_Counties_DataNames),"")</f>
        <v>Osceola</v>
      </c>
      <c r="G225" s="454"/>
      <c r="H225" s="115" t="s">
        <v>28</v>
      </c>
      <c r="I225" s="115" t="s">
        <v>29</v>
      </c>
    </row>
    <row r="226" spans="1:9">
      <c r="A226" s="104" t="s">
        <v>88</v>
      </c>
      <c r="B226" s="102">
        <v>1</v>
      </c>
      <c r="C226" s="105">
        <f>IF(B226&lt;&gt;1,"",SUM(B$177:B226))</f>
        <v>50</v>
      </c>
      <c r="D226" s="102">
        <v>50</v>
      </c>
      <c r="F226" s="111" t="str">
        <f>IF(COUNTA($A$177:$A226)&lt;=MAX(DS_Counties_Sequence)=TRUE,LOOKUP(COUNTA($A$177:$A226),DS_Counties_Sequence,DS_Counties_DataNames),"")</f>
        <v>Palm Beach</v>
      </c>
      <c r="G226" s="454"/>
      <c r="H226" s="115" t="s">
        <v>38</v>
      </c>
      <c r="I226" s="115" t="s">
        <v>39</v>
      </c>
    </row>
    <row r="227" spans="1:9">
      <c r="A227" s="104" t="s">
        <v>89</v>
      </c>
      <c r="B227" s="102">
        <v>1</v>
      </c>
      <c r="C227" s="105">
        <f>IF(B227&lt;&gt;1,"",SUM(B$177:B227))</f>
        <v>51</v>
      </c>
      <c r="D227" s="102">
        <v>51</v>
      </c>
      <c r="F227" s="111" t="str">
        <f>IF(COUNTA($A$177:$A227)&lt;=MAX(DS_Counties_Sequence)=TRUE,LOOKUP(COUNTA($A$177:$A227),DS_Counties_Sequence,DS_Counties_DataNames),"")</f>
        <v>Pasco</v>
      </c>
      <c r="G227" s="454"/>
      <c r="H227" s="115" t="s">
        <v>28</v>
      </c>
      <c r="I227" s="115" t="s">
        <v>29</v>
      </c>
    </row>
    <row r="228" spans="1:9">
      <c r="A228" s="104" t="s">
        <v>90</v>
      </c>
      <c r="B228" s="102">
        <v>1</v>
      </c>
      <c r="C228" s="105">
        <f>IF(B228&lt;&gt;1,"",SUM(B$177:B228))</f>
        <v>52</v>
      </c>
      <c r="D228" s="102">
        <v>52</v>
      </c>
      <c r="F228" s="111" t="str">
        <f>IF(COUNTA($A$177:$A228)&lt;=MAX(DS_Counties_Sequence)=TRUE,LOOKUP(COUNTA($A$177:$A228),DS_Counties_Sequence,DS_Counties_DataNames),"")</f>
        <v>Pinellas</v>
      </c>
      <c r="G228" s="454"/>
      <c r="H228" s="115" t="s">
        <v>38</v>
      </c>
      <c r="I228" s="115" t="s">
        <v>91</v>
      </c>
    </row>
    <row r="229" spans="1:9">
      <c r="A229" s="104" t="s">
        <v>92</v>
      </c>
      <c r="B229" s="102">
        <v>1</v>
      </c>
      <c r="C229" s="105">
        <f>IF(B229&lt;&gt;1,"",SUM(B$177:B229))</f>
        <v>53</v>
      </c>
      <c r="D229" s="102">
        <v>53</v>
      </c>
      <c r="F229" s="111" t="str">
        <f>IF(COUNTA($A$177:$A229)&lt;=MAX(DS_Counties_Sequence)=TRUE,LOOKUP(COUNTA($A$177:$A229),DS_Counties_Sequence,DS_Counties_DataNames),"")</f>
        <v>Polk</v>
      </c>
      <c r="G229" s="454"/>
      <c r="H229" s="115" t="s">
        <v>28</v>
      </c>
      <c r="I229" s="115" t="s">
        <v>29</v>
      </c>
    </row>
    <row r="230" spans="1:9">
      <c r="A230" s="104" t="s">
        <v>93</v>
      </c>
      <c r="B230" s="102">
        <v>1</v>
      </c>
      <c r="C230" s="105">
        <f>IF(B230&lt;&gt;1,"",SUM(B$177:B230))</f>
        <v>54</v>
      </c>
      <c r="D230" s="102">
        <v>54</v>
      </c>
      <c r="F230" s="111" t="str">
        <f>IF(COUNTA($A$177:$A230)&lt;=MAX(DS_Counties_Sequence)=TRUE,LOOKUP(COUNTA($A$177:$A230),DS_Counties_Sequence,DS_Counties_DataNames),"")</f>
        <v>Putnam</v>
      </c>
      <c r="G230" s="454"/>
      <c r="H230" s="115" t="s">
        <v>31</v>
      </c>
      <c r="I230" s="115" t="s">
        <v>47</v>
      </c>
    </row>
    <row r="231" spans="1:9">
      <c r="A231" s="104" t="s">
        <v>94</v>
      </c>
      <c r="B231" s="102">
        <v>1</v>
      </c>
      <c r="C231" s="105">
        <f>IF(B231&lt;&gt;1,"",SUM(B$177:B231))</f>
        <v>55</v>
      </c>
      <c r="D231" s="102">
        <v>55</v>
      </c>
      <c r="F231" s="111" t="str">
        <f>IF(COUNTA($A$177:$A231)&lt;=MAX(DS_Counties_Sequence)=TRUE,LOOKUP(COUNTA($A$177:$A231),DS_Counties_Sequence,DS_Counties_DataNames),"")</f>
        <v>St. Johns</v>
      </c>
      <c r="G231" s="454"/>
      <c r="H231" s="115" t="s">
        <v>28</v>
      </c>
      <c r="I231" s="115" t="s">
        <v>29</v>
      </c>
    </row>
    <row r="232" spans="1:9">
      <c r="A232" s="104" t="s">
        <v>95</v>
      </c>
      <c r="B232" s="102">
        <v>1</v>
      </c>
      <c r="C232" s="105">
        <f>IF(B232&lt;&gt;1,"",SUM(B$177:B232))</f>
        <v>56</v>
      </c>
      <c r="D232" s="102">
        <v>56</v>
      </c>
      <c r="F232" s="111" t="str">
        <f>IF(COUNTA($A$177:$A232)&lt;=MAX(DS_Counties_Sequence)=TRUE,LOOKUP(COUNTA($A$177:$A232),DS_Counties_Sequence,DS_Counties_DataNames),"")</f>
        <v>St. Lucie</v>
      </c>
      <c r="G232" s="454"/>
      <c r="H232" s="115" t="s">
        <v>28</v>
      </c>
      <c r="I232" s="115" t="s">
        <v>29</v>
      </c>
    </row>
    <row r="233" spans="1:9">
      <c r="A233" s="104" t="s">
        <v>96</v>
      </c>
      <c r="B233" s="102">
        <v>1</v>
      </c>
      <c r="C233" s="105">
        <f>IF(B233&lt;&gt;1,"",SUM(B$177:B233))</f>
        <v>57</v>
      </c>
      <c r="D233" s="102">
        <v>57</v>
      </c>
      <c r="F233" s="111" t="str">
        <f>IF(COUNTA($A$177:$A233)&lt;=MAX(DS_Counties_Sequence)=TRUE,LOOKUP(COUNTA($A$177:$A233),DS_Counties_Sequence,DS_Counties_DataNames),"")</f>
        <v>Santa Rosa</v>
      </c>
      <c r="G233" s="454"/>
      <c r="H233" s="115" t="s">
        <v>28</v>
      </c>
      <c r="I233" s="115" t="s">
        <v>34</v>
      </c>
    </row>
    <row r="234" spans="1:9">
      <c r="A234" s="104" t="s">
        <v>97</v>
      </c>
      <c r="B234" s="102">
        <v>1</v>
      </c>
      <c r="C234" s="105">
        <f>IF(B234&lt;&gt;1,"",SUM(B$177:B234))</f>
        <v>58</v>
      </c>
      <c r="D234" s="102">
        <v>58</v>
      </c>
      <c r="F234" s="111" t="str">
        <f>IF(COUNTA($A$177:$A234)&lt;=MAX(DS_Counties_Sequence)=TRUE,LOOKUP(COUNTA($A$177:$A234),DS_Counties_Sequence,DS_Counties_DataNames),"")</f>
        <v>Sarasota</v>
      </c>
      <c r="G234" s="454"/>
      <c r="H234" s="115" t="s">
        <v>28</v>
      </c>
      <c r="I234" s="115" t="s">
        <v>29</v>
      </c>
    </row>
    <row r="235" spans="1:9">
      <c r="A235" s="104" t="s">
        <v>98</v>
      </c>
      <c r="B235" s="102">
        <v>1</v>
      </c>
      <c r="C235" s="105">
        <f>IF(B235&lt;&gt;1,"",SUM(B$177:B235))</f>
        <v>59</v>
      </c>
      <c r="D235" s="102">
        <v>59</v>
      </c>
      <c r="F235" s="111" t="str">
        <f>IF(COUNTA($A$177:$A235)&lt;=MAX(DS_Counties_Sequence)=TRUE,LOOKUP(COUNTA($A$177:$A235),DS_Counties_Sequence,DS_Counties_DataNames),"")</f>
        <v>Seminole</v>
      </c>
      <c r="G235" s="454"/>
      <c r="H235" s="115" t="s">
        <v>28</v>
      </c>
      <c r="I235" s="115" t="s">
        <v>29</v>
      </c>
    </row>
    <row r="236" spans="1:9">
      <c r="A236" s="104" t="s">
        <v>99</v>
      </c>
      <c r="B236" s="102">
        <v>1</v>
      </c>
      <c r="C236" s="105">
        <f>IF(B236&lt;&gt;1,"",SUM(B$177:B236))</f>
        <v>60</v>
      </c>
      <c r="D236" s="102">
        <v>60</v>
      </c>
      <c r="F236" s="111" t="str">
        <f>IF(COUNTA($A$177:$A236)&lt;=MAX(DS_Counties_Sequence)=TRUE,LOOKUP(COUNTA($A$177:$A236),DS_Counties_Sequence,DS_Counties_DataNames),"")</f>
        <v>Sumter</v>
      </c>
      <c r="G236" s="454"/>
      <c r="H236" s="115" t="s">
        <v>28</v>
      </c>
      <c r="I236" s="115" t="s">
        <v>34</v>
      </c>
    </row>
    <row r="237" spans="1:9">
      <c r="A237" s="104" t="s">
        <v>100</v>
      </c>
      <c r="B237" s="102">
        <v>1</v>
      </c>
      <c r="C237" s="105">
        <f>IF(B237&lt;&gt;1,"",SUM(B$177:B237))</f>
        <v>61</v>
      </c>
      <c r="D237" s="102">
        <v>61</v>
      </c>
      <c r="F237" s="111" t="str">
        <f>IF(COUNTA($A$177:$A237)&lt;=MAX(DS_Counties_Sequence)=TRUE,LOOKUP(COUNTA($A$177:$A237),DS_Counties_Sequence,DS_Counties_DataNames),"")</f>
        <v>Suwannee</v>
      </c>
      <c r="G237" s="454"/>
      <c r="H237" s="115" t="s">
        <v>31</v>
      </c>
      <c r="I237" s="115" t="s">
        <v>32</v>
      </c>
    </row>
    <row r="238" spans="1:9">
      <c r="A238" s="104" t="s">
        <v>101</v>
      </c>
      <c r="B238" s="102">
        <v>1</v>
      </c>
      <c r="C238" s="105">
        <f>IF(B238&lt;&gt;1,"",SUM(B$177:B238))</f>
        <v>62</v>
      </c>
      <c r="D238" s="102">
        <v>62</v>
      </c>
      <c r="F238" s="111" t="str">
        <f>IF(COUNTA($A$177:$A238)&lt;=MAX(DS_Counties_Sequence)=TRUE,LOOKUP(COUNTA($A$177:$A238),DS_Counties_Sequence,DS_Counties_DataNames),"")</f>
        <v>Taylor</v>
      </c>
      <c r="G238" s="454"/>
      <c r="H238" s="115" t="s">
        <v>31</v>
      </c>
      <c r="I238" s="115" t="s">
        <v>32</v>
      </c>
    </row>
    <row r="239" spans="1:9">
      <c r="A239" s="104" t="s">
        <v>102</v>
      </c>
      <c r="B239" s="102">
        <v>1</v>
      </c>
      <c r="C239" s="105">
        <f>IF(B239&lt;&gt;1,"",SUM(B$177:B239))</f>
        <v>63</v>
      </c>
      <c r="D239" s="102">
        <v>63</v>
      </c>
      <c r="F239" s="111" t="str">
        <f>IF(COUNTA($A$177:$A239)&lt;=MAX(DS_Counties_Sequence)=TRUE,LOOKUP(COUNTA($A$177:$A239),DS_Counties_Sequence,DS_Counties_DataNames),"")</f>
        <v>Union</v>
      </c>
      <c r="G239" s="454"/>
      <c r="H239" s="115" t="s">
        <v>31</v>
      </c>
      <c r="I239" s="115" t="s">
        <v>41</v>
      </c>
    </row>
    <row r="240" spans="1:9">
      <c r="A240" s="104" t="s">
        <v>103</v>
      </c>
      <c r="B240" s="102">
        <v>1</v>
      </c>
      <c r="C240" s="105">
        <f>IF(B240&lt;&gt;1,"",SUM(B$177:B240))</f>
        <v>64</v>
      </c>
      <c r="D240" s="102">
        <v>64</v>
      </c>
      <c r="F240" s="111" t="str">
        <f>IF(COUNTA($A$177:$A240)&lt;=MAX(DS_Counties_Sequence)=TRUE,LOOKUP(COUNTA($A$177:$A240),DS_Counties_Sequence,DS_Counties_DataNames),"")</f>
        <v>Volusia</v>
      </c>
      <c r="G240" s="454"/>
      <c r="H240" s="115" t="s">
        <v>28</v>
      </c>
      <c r="I240" s="115" t="s">
        <v>29</v>
      </c>
    </row>
    <row r="241" spans="1:9">
      <c r="A241" s="104" t="s">
        <v>104</v>
      </c>
      <c r="B241" s="102">
        <v>1</v>
      </c>
      <c r="C241" s="105">
        <f>IF(B241&lt;&gt;1,"",SUM(B$177:B241))</f>
        <v>65</v>
      </c>
      <c r="D241" s="102">
        <v>65</v>
      </c>
      <c r="F241" s="111" t="str">
        <f>IF(COUNTA($A$177:$A241)&lt;=MAX(DS_Counties_Sequence)=TRUE,LOOKUP(COUNTA($A$177:$A241),DS_Counties_Sequence,DS_Counties_DataNames),"")</f>
        <v>Wakulla</v>
      </c>
      <c r="G241" s="454"/>
      <c r="H241" s="115" t="s">
        <v>31</v>
      </c>
      <c r="I241" s="115" t="s">
        <v>32</v>
      </c>
    </row>
    <row r="242" spans="1:9">
      <c r="A242" s="104" t="s">
        <v>105</v>
      </c>
      <c r="B242" s="102">
        <v>1</v>
      </c>
      <c r="C242" s="105">
        <f>IF(B242&lt;&gt;1,"",SUM(B$177:B242))</f>
        <v>66</v>
      </c>
      <c r="D242" s="102">
        <v>66</v>
      </c>
      <c r="F242" s="111" t="str">
        <f>IF(COUNTA($A$177:$A242)&lt;=MAX(DS_Counties_Sequence)=TRUE,LOOKUP(COUNTA($A$177:$A242),DS_Counties_Sequence,DS_Counties_DataNames),"")</f>
        <v>Walton</v>
      </c>
      <c r="G242" s="454"/>
      <c r="H242" s="115" t="s">
        <v>31</v>
      </c>
      <c r="I242" s="115" t="s">
        <v>47</v>
      </c>
    </row>
    <row r="243" spans="1:9">
      <c r="A243" s="104" t="s">
        <v>106</v>
      </c>
      <c r="B243" s="102">
        <v>1</v>
      </c>
      <c r="C243" s="105">
        <f>IF(B243&lt;&gt;1,"",SUM(B$177:B243))</f>
        <v>67</v>
      </c>
      <c r="D243" s="102">
        <v>67</v>
      </c>
      <c r="F243" s="111" t="str">
        <f>IF(COUNTA($A$177:$A243)&lt;=MAX(DS_Counties_Sequence)=TRUE,LOOKUP(COUNTA($A$177:$A243),DS_Counties_Sequence,DS_Counties_DataNames),"")</f>
        <v>Washington</v>
      </c>
      <c r="G243" s="454"/>
      <c r="H243" s="115" t="s">
        <v>31</v>
      </c>
      <c r="I243" s="115" t="s">
        <v>32</v>
      </c>
    </row>
    <row r="245" spans="1:9" ht="18" customHeight="1">
      <c r="A245" s="1257" t="s">
        <v>1245</v>
      </c>
      <c r="B245" s="108"/>
      <c r="C245" s="108"/>
      <c r="D245" s="108"/>
      <c r="E245" s="1074" t="s">
        <v>1233</v>
      </c>
      <c r="F245" s="111" t="s">
        <v>2</v>
      </c>
    </row>
    <row r="246" spans="1:9">
      <c r="F246" s="111" t="s">
        <v>799</v>
      </c>
    </row>
    <row r="247" spans="1:9">
      <c r="F247" s="111" t="s">
        <v>798</v>
      </c>
    </row>
    <row r="249" spans="1:9" ht="18" customHeight="1">
      <c r="A249" s="1257" t="s">
        <v>1244</v>
      </c>
      <c r="B249" s="108"/>
      <c r="C249" s="108"/>
      <c r="D249" s="108"/>
      <c r="E249" s="1074" t="s">
        <v>1232</v>
      </c>
      <c r="F249" s="111" t="s">
        <v>2</v>
      </c>
    </row>
    <row r="250" spans="1:9">
      <c r="F250" s="111" t="s">
        <v>1100</v>
      </c>
    </row>
    <row r="251" spans="1:9">
      <c r="F251" s="111" t="s">
        <v>1101</v>
      </c>
    </row>
    <row r="253" spans="1:9" ht="18" customHeight="1">
      <c r="A253" s="1257" t="s">
        <v>107</v>
      </c>
      <c r="B253" s="1258" t="s">
        <v>4</v>
      </c>
      <c r="C253" s="1258" t="s">
        <v>5</v>
      </c>
      <c r="D253" s="1258" t="s">
        <v>6</v>
      </c>
      <c r="E253" s="1074" t="s">
        <v>1234</v>
      </c>
      <c r="F253" s="111" t="s">
        <v>2</v>
      </c>
    </row>
    <row r="254" spans="1:9">
      <c r="A254" s="104" t="s">
        <v>108</v>
      </c>
      <c r="B254" s="102">
        <v>1</v>
      </c>
      <c r="C254" s="105">
        <f>IF(B254&lt;&gt;1,"",SUM(B$254:B254))</f>
        <v>1</v>
      </c>
      <c r="D254" s="102">
        <v>1</v>
      </c>
      <c r="F254" s="111" t="str">
        <f>IF(COUNTA($A$254:$A254)&lt;=MAX(DS_DevType_Sequence)=TRUE,LOOKUP(COUNTA($A$254:$A254),DS_DevType_Sequence,DS_DevType_DataNames),"")</f>
        <v>Garden Apartments</v>
      </c>
    </row>
    <row r="255" spans="1:9">
      <c r="A255" s="104" t="s">
        <v>109</v>
      </c>
      <c r="B255" s="102"/>
      <c r="C255" s="105" t="str">
        <f>IF(B255&lt;&gt;1,"",SUM(B$254:B255))</f>
        <v/>
      </c>
      <c r="D255" s="102">
        <v>2</v>
      </c>
      <c r="F255" s="111" t="str">
        <f>IF(COUNTA($A$254:$A255)&lt;=MAX(DS_DevType_Sequence)=TRUE,LOOKUP(COUNTA($A$254:$A255),DS_DevType_Sequence,DS_DevType_DataNames),"")</f>
        <v>Duplexes</v>
      </c>
    </row>
    <row r="256" spans="1:9">
      <c r="A256" s="104" t="s">
        <v>110</v>
      </c>
      <c r="B256" s="102">
        <v>1</v>
      </c>
      <c r="C256" s="105">
        <f>IF(B256&lt;&gt;1,"",SUM(B$254:B256))</f>
        <v>2</v>
      </c>
      <c r="D256" s="102">
        <v>3</v>
      </c>
      <c r="F256" s="111" t="str">
        <f>IF(COUNTA($A$254:$A256)&lt;=MAX(DS_DevType_Sequence)=TRUE,LOOKUP(COUNTA($A$254:$A256),DS_DevType_Sequence,DS_DevType_DataNames),"")</f>
        <v>Triplexes</v>
      </c>
    </row>
    <row r="257" spans="1:31">
      <c r="A257" s="104" t="s">
        <v>111</v>
      </c>
      <c r="B257" s="102">
        <v>1</v>
      </c>
      <c r="C257" s="105">
        <f>IF(B257&lt;&gt;1,"",SUM(B$254:B257))</f>
        <v>3</v>
      </c>
      <c r="D257" s="102">
        <v>4</v>
      </c>
      <c r="F257" s="111" t="str">
        <f>IF(COUNTA($A$254:$A257)&lt;=MAX(DS_DevType_Sequence)=TRUE,LOOKUP(COUNTA($A$254:$A257),DS_DevType_Sequence,DS_DevType_DataNames),"")</f>
        <v>Quadraplexes</v>
      </c>
    </row>
    <row r="258" spans="1:31">
      <c r="A258" s="104" t="s">
        <v>112</v>
      </c>
      <c r="B258" s="102">
        <v>1</v>
      </c>
      <c r="C258" s="105">
        <f>IF(B258&lt;&gt;1,"",SUM(B$254:B258))</f>
        <v>4</v>
      </c>
      <c r="D258" s="102">
        <v>5</v>
      </c>
      <c r="F258" s="111" t="str">
        <f>IF(COUNTA($A$254:$A258)&lt;=MAX(DS_DevType_Sequence)=TRUE,LOOKUP(COUNTA($A$254:$A258),DS_DevType_Sequence,DS_DevType_DataNames),"")</f>
        <v>Mid-Rise (4 Stories)</v>
      </c>
    </row>
    <row r="259" spans="1:31">
      <c r="A259" s="104" t="s">
        <v>113</v>
      </c>
      <c r="B259" s="102"/>
      <c r="C259" s="105" t="str">
        <f>IF(B259&lt;&gt;1,"",SUM(B$254:B259))</f>
        <v/>
      </c>
      <c r="D259" s="102">
        <v>6</v>
      </c>
      <c r="F259" s="111" t="str">
        <f>IF(COUNTA($A$254:$A259)&lt;=MAX(DS_DevType_Sequence)=TRUE,LOOKUP(COUNTA($A$254:$A259),DS_DevType_Sequence,DS_DevType_DataNames),"")</f>
        <v/>
      </c>
    </row>
    <row r="260" spans="1:31">
      <c r="A260" s="104" t="s">
        <v>114</v>
      </c>
      <c r="B260" s="102">
        <v>1</v>
      </c>
      <c r="C260" s="105">
        <f>IF(B260&lt;&gt;1,"",SUM(B$254:B260))</f>
        <v>5</v>
      </c>
      <c r="D260" s="102">
        <v>7</v>
      </c>
      <c r="F260" s="111" t="str">
        <f>IF(COUNTA($A$254:$A260)&lt;=MAX(DS_DevType_Sequence)=TRUE,LOOKUP(COUNTA($A$254:$A260),DS_DevType_Sequence,DS_DevType_DataNames),"")</f>
        <v/>
      </c>
    </row>
    <row r="261" spans="1:31">
      <c r="A261" s="104" t="s">
        <v>115</v>
      </c>
      <c r="B261" s="102"/>
      <c r="C261" s="105" t="str">
        <f>IF(B261&lt;&gt;1,"",SUM(B$254:B261))</f>
        <v/>
      </c>
      <c r="D261" s="102">
        <v>8</v>
      </c>
      <c r="F261" s="111" t="str">
        <f>IF(COUNTA($A$254:$A261)&lt;=MAX(DS_DevType_Sequence)=TRUE,LOOKUP(COUNTA($A$254:$A261),DS_DevType_Sequence,DS_DevType_DataNames),"")</f>
        <v/>
      </c>
    </row>
    <row r="262" spans="1:31">
      <c r="A262" s="104" t="s">
        <v>116</v>
      </c>
      <c r="B262" s="102"/>
      <c r="C262" s="105" t="str">
        <f>IF(B262&lt;&gt;1,"",SUM(B$254:B262))</f>
        <v/>
      </c>
      <c r="D262" s="102">
        <v>9</v>
      </c>
      <c r="F262" s="111" t="str">
        <f>IF(COUNTA($A$254:$A262)&lt;=MAX(DS_DevType_Sequence)=TRUE,LOOKUP(COUNTA($A$254:$A262),DS_DevType_Sequence,DS_DevType_DataNames),"")</f>
        <v/>
      </c>
    </row>
    <row r="263" spans="1:31">
      <c r="A263" s="104" t="s">
        <v>117</v>
      </c>
      <c r="B263" s="102"/>
      <c r="C263" s="105" t="str">
        <f>IF(B263&lt;&gt;1,"",SUM(B$254:B263))</f>
        <v/>
      </c>
      <c r="D263" s="102">
        <v>10</v>
      </c>
      <c r="F263" s="111" t="str">
        <f>IF(COUNTA($A$254:$A263)&lt;=MAX(DS_DevType_Sequence)=TRUE,LOOKUP(COUNTA($A$254:$A263),DS_DevType_Sequence,DS_DevType_DataNames),"")</f>
        <v/>
      </c>
    </row>
    <row r="264" spans="1:31">
      <c r="A264" s="104" t="s">
        <v>118</v>
      </c>
      <c r="B264" s="102"/>
      <c r="C264" s="105" t="str">
        <f>IF(B264&lt;&gt;1,"",SUM(B$254:B264))</f>
        <v/>
      </c>
      <c r="D264" s="102">
        <v>11</v>
      </c>
      <c r="F264" s="111" t="str">
        <f>IF(COUNTA($A$254:$A264)&lt;=MAX(DS_DevType_Sequence)=TRUE,LOOKUP(COUNTA($A$254:$A264),DS_DevType_Sequence,DS_DevType_DataNames),"")</f>
        <v/>
      </c>
      <c r="P264" s="1281">
        <f>SQRT(((((6378137/1000)^2*COS(P266))^2)+(((6356752.3142245/1000)^2*SIN(P266))^2))/((((6378137/1000)*COS(P266))^2)+(((6356752.3142245/1000)*SIN(P266))^2)))/1.609347</f>
        <v>3960.5583311050227</v>
      </c>
    </row>
    <row r="265" spans="1:31" ht="15.6">
      <c r="A265" s="104" t="s">
        <v>119</v>
      </c>
      <c r="B265" s="102"/>
      <c r="C265" s="105" t="str">
        <f>IF(B265&lt;&gt;1,"",SUM(B$254:B265))</f>
        <v/>
      </c>
      <c r="D265" s="102">
        <v>12</v>
      </c>
      <c r="F265" s="111" t="str">
        <f>IF(COUNTA($A$254:$A265)&lt;=MAX(DS_DevType_Sequence)=TRUE,LOOKUP(COUNTA($A$254:$A265),DS_DevType_Sequence,DS_DevType_DataNames),"")</f>
        <v/>
      </c>
      <c r="P265" s="1196" t="s">
        <v>1775</v>
      </c>
    </row>
    <row r="266" spans="1:31">
      <c r="F266" s="1062"/>
      <c r="L266" s="1312" t="s">
        <v>1774</v>
      </c>
      <c r="O266" s="1160" t="s">
        <v>1665</v>
      </c>
      <c r="P266" s="1211">
        <f>IF(VALUE(DLP_latitude)=0,27.812095,DLP_latitude)</f>
        <v>27.812094999999999</v>
      </c>
    </row>
    <row r="267" spans="1:31" ht="18" customHeight="1">
      <c r="A267" s="1257" t="s">
        <v>1653</v>
      </c>
      <c r="B267" s="108"/>
      <c r="C267" s="108"/>
      <c r="D267" s="108"/>
      <c r="E267" s="1074" t="s">
        <v>1652</v>
      </c>
      <c r="F267" s="1295" t="s">
        <v>1760</v>
      </c>
      <c r="G267" s="1249" t="s">
        <v>31</v>
      </c>
      <c r="H267" s="1249" t="s">
        <v>28</v>
      </c>
      <c r="I267" s="1249" t="s">
        <v>38</v>
      </c>
      <c r="J267" s="1249" t="s">
        <v>1743</v>
      </c>
      <c r="K267" s="1249" t="s">
        <v>1744</v>
      </c>
      <c r="L267" s="1249" t="s">
        <v>1745</v>
      </c>
      <c r="O267" s="1213" t="s">
        <v>1661</v>
      </c>
      <c r="P267" s="933">
        <f>6378137/1000</f>
        <v>6378.1369999999997</v>
      </c>
      <c r="Q267" s="933">
        <f>P267^2</f>
        <v>40680631.590768993</v>
      </c>
      <c r="R267" s="933">
        <f>Q267*Q268</f>
        <v>-36411455.79754369</v>
      </c>
      <c r="S267" s="933">
        <f>R267^2</f>
        <v>1325794113296478</v>
      </c>
      <c r="T267" s="1214"/>
    </row>
    <row r="268" spans="1:31" ht="14.4" customHeight="1">
      <c r="A268" t="s">
        <v>1690</v>
      </c>
      <c r="B268" s="397">
        <v>3</v>
      </c>
      <c r="C268" s="1294">
        <f>IF(PHA_Prox_boost="Yes",B268,0)</f>
        <v>0</v>
      </c>
      <c r="D268" s="108"/>
      <c r="E268" s="1074"/>
      <c r="F268" s="1273" t="s">
        <v>1742</v>
      </c>
      <c r="G268" s="1269">
        <v>0.3</v>
      </c>
      <c r="H268" s="1269">
        <v>0.3</v>
      </c>
      <c r="I268" s="1269">
        <v>0.3</v>
      </c>
      <c r="J268" s="1271">
        <v>2</v>
      </c>
      <c r="K268" s="1271">
        <v>4</v>
      </c>
      <c r="L268" s="1271">
        <v>6</v>
      </c>
      <c r="O268" s="1215" t="s">
        <v>1663</v>
      </c>
      <c r="P268" s="221">
        <f>COS(P$266)</f>
        <v>-0.89505630502074007</v>
      </c>
      <c r="Q268" s="221">
        <f>P268</f>
        <v>-0.89505630502074007</v>
      </c>
      <c r="R268" s="221"/>
      <c r="S268" s="221"/>
      <c r="T268" s="1216">
        <f>S267+S269</f>
        <v>1650522031715820.5</v>
      </c>
      <c r="AB268" s="1316">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$270)</f>
        <v>0</v>
      </c>
      <c r="AC268" s="1319">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$270)</f>
        <v>0</v>
      </c>
      <c r="AD268" s="132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2)</f>
        <v>0</v>
      </c>
      <c r="AE268" s="1321">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row>
    <row r="269" spans="1:31" ht="14.4" customHeight="1">
      <c r="A269" t="s">
        <v>1691</v>
      </c>
      <c r="B269" s="397">
        <v>3</v>
      </c>
      <c r="C269" s="1293">
        <f>IF(RD_Prox_boost="Yes",B269,0)</f>
        <v>0</v>
      </c>
      <c r="D269" s="108"/>
      <c r="E269" s="1074"/>
      <c r="F269" s="1273" t="s">
        <v>1742</v>
      </c>
      <c r="G269" s="1270">
        <v>0.75</v>
      </c>
      <c r="H269" s="1270">
        <v>0.4</v>
      </c>
      <c r="I269" s="1270">
        <v>0.4</v>
      </c>
      <c r="J269" s="1272">
        <v>1.5</v>
      </c>
      <c r="K269" s="1272">
        <v>3</v>
      </c>
      <c r="L269" s="1272">
        <v>5.5</v>
      </c>
      <c r="O269" s="1215" t="s">
        <v>1662</v>
      </c>
      <c r="P269" s="221">
        <f>6356752.3142245/1000</f>
        <v>6356.7523142245</v>
      </c>
      <c r="Q269" s="221">
        <f>P269^2</f>
        <v>40408299.984398536</v>
      </c>
      <c r="R269" s="221">
        <f>Q269*Q270</f>
        <v>18020208.611981787</v>
      </c>
      <c r="S269" s="221">
        <f>R269^2</f>
        <v>324727918419342.56</v>
      </c>
      <c r="T269" s="1216"/>
      <c r="V269" s="1160" t="s">
        <v>1656</v>
      </c>
      <c r="W269" s="1160" t="s">
        <v>1657</v>
      </c>
      <c r="AB269" s="1317">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$270)</f>
        <v>0</v>
      </c>
      <c r="AC269" s="1284">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$270)</f>
        <v>0</v>
      </c>
      <c r="AD269" s="132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2)</f>
        <v>0</v>
      </c>
      <c r="AE269" s="1323">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row>
    <row r="270" spans="1:31" ht="14.4" customHeight="1">
      <c r="A270" s="871" t="s">
        <v>1694</v>
      </c>
      <c r="C270" s="1283"/>
      <c r="D270" s="108"/>
      <c r="E270" s="1074"/>
      <c r="F270" s="1273" t="s">
        <v>1742</v>
      </c>
      <c r="G270" s="1304">
        <v>1</v>
      </c>
      <c r="H270" s="1304">
        <v>0.5</v>
      </c>
      <c r="I270" s="1304">
        <v>0.5</v>
      </c>
      <c r="J270" s="1305">
        <v>1</v>
      </c>
      <c r="K270" s="1305">
        <v>2</v>
      </c>
      <c r="L270" s="1310">
        <f>IF(County_Size="Small",5,5.5)</f>
        <v>5.5</v>
      </c>
      <c r="O270" s="1215" t="s">
        <v>1664</v>
      </c>
      <c r="P270" s="221">
        <f>SIN(P$266)</f>
        <v>0.44595314870804531</v>
      </c>
      <c r="Q270" s="221">
        <f>P270</f>
        <v>0.44595314870804531</v>
      </c>
      <c r="R270" s="221"/>
      <c r="S270" s="221"/>
      <c r="T270" s="221"/>
      <c r="U270" s="1749">
        <f>T268/T272</f>
        <v>40626762.705522977</v>
      </c>
      <c r="V270" s="1314">
        <f>SQRT(U270)</f>
        <v>6373.9126684888752</v>
      </c>
      <c r="W270" s="1314">
        <f>V270/1.609347</f>
        <v>3960.5583311050227</v>
      </c>
      <c r="X270" t="s">
        <v>1668</v>
      </c>
      <c r="AB270" s="1317">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$270)</f>
        <v>0</v>
      </c>
      <c r="AC270" s="1284">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$270)</f>
        <v>0</v>
      </c>
      <c r="AD270" s="132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2)</f>
        <v>0</v>
      </c>
      <c r="AE270" s="132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row>
    <row r="271" spans="1:31" ht="14.4" customHeight="1">
      <c r="A271" t="s">
        <v>1695</v>
      </c>
      <c r="B271" s="397">
        <v>6</v>
      </c>
      <c r="C271" s="1287">
        <f>MIN(B271,SUM(C272:C276))</f>
        <v>0</v>
      </c>
      <c r="D271" s="108"/>
      <c r="E271" s="1074"/>
      <c r="F271" s="1273" t="s">
        <v>1742</v>
      </c>
      <c r="G271" s="1304">
        <v>1.25</v>
      </c>
      <c r="H271" s="1304">
        <v>0.75</v>
      </c>
      <c r="I271" s="1304">
        <v>0.75</v>
      </c>
      <c r="J271" s="1272">
        <v>0</v>
      </c>
      <c r="K271" s="1272">
        <v>1</v>
      </c>
      <c r="L271" s="1311">
        <f>IF(County_Size="Small",4.5,5)</f>
        <v>5</v>
      </c>
      <c r="O271" s="1219" t="s">
        <v>1661</v>
      </c>
      <c r="P271" s="1220">
        <f>P267</f>
        <v>6378.1369999999997</v>
      </c>
      <c r="Q271" s="1220">
        <f>P271*P272</f>
        <v>-5708.7917361360678</v>
      </c>
      <c r="R271" s="1220">
        <f>Q271^2</f>
        <v>32590303.08657546</v>
      </c>
      <c r="S271" s="1220"/>
      <c r="T271" s="1220"/>
      <c r="U271" s="1750"/>
      <c r="V271">
        <f>P269</f>
        <v>6356.7523142245</v>
      </c>
      <c r="W271">
        <f>V271/1.609347</f>
        <v>3949.8954011934652</v>
      </c>
      <c r="X271" t="s">
        <v>1666</v>
      </c>
      <c r="Z271">
        <v>3949.9027999999998</v>
      </c>
      <c r="AB271" s="1317">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$270)</f>
        <v>0</v>
      </c>
      <c r="AC271" s="1284">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$270)</f>
        <v>0</v>
      </c>
      <c r="AD271" s="132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2)</f>
        <v>0</v>
      </c>
      <c r="AE271" s="1323">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row>
    <row r="272" spans="1:31" ht="14.4" customHeight="1">
      <c r="A272" s="620" t="s">
        <v>1696</v>
      </c>
      <c r="B272" s="397">
        <v>2</v>
      </c>
      <c r="C272" s="1283">
        <f>IF(AND(OR(Demographic="Elderly Non-ALF",Demographic="Elderly ALF"),Private_transportation="Yes"),B272,0)</f>
        <v>0</v>
      </c>
      <c r="D272" s="108"/>
      <c r="E272" s="1074"/>
      <c r="F272" s="1308" t="s">
        <v>1742</v>
      </c>
      <c r="G272" s="1309">
        <f>G271</f>
        <v>1.25</v>
      </c>
      <c r="H272" s="1309">
        <f>H271</f>
        <v>0.75</v>
      </c>
      <c r="I272" s="1270">
        <v>1</v>
      </c>
      <c r="J272" s="1272">
        <v>0</v>
      </c>
      <c r="K272" s="1272">
        <v>0</v>
      </c>
      <c r="L272" s="1311">
        <f>IF(County_Size="Small",0,4.5)</f>
        <v>4.5</v>
      </c>
      <c r="O272" s="1215" t="s">
        <v>1663</v>
      </c>
      <c r="P272" s="221">
        <f>COS(P$266)</f>
        <v>-0.89505630502074007</v>
      </c>
      <c r="Q272" s="221"/>
      <c r="R272" s="221"/>
      <c r="S272" s="221"/>
      <c r="T272" s="1216">
        <f>R271+R273</f>
        <v>40626471.857464574</v>
      </c>
      <c r="V272">
        <f>P267</f>
        <v>6378.1369999999997</v>
      </c>
      <c r="W272" s="1212">
        <f>V272/1.609347</f>
        <v>3963.1832041194343</v>
      </c>
      <c r="X272" t="s">
        <v>1667</v>
      </c>
      <c r="Z272">
        <v>3963.1905999999999</v>
      </c>
      <c r="AB272" s="1317">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$270)</f>
        <v>0</v>
      </c>
      <c r="AC272" s="1284">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$270)</f>
        <v>0</v>
      </c>
      <c r="AD272" s="132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2)</f>
        <v>0</v>
      </c>
      <c r="AE272" s="1323">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row>
    <row r="273" spans="1:31" ht="14.4" customHeight="1">
      <c r="A273" s="620" t="s">
        <v>1697</v>
      </c>
      <c r="B273" s="397">
        <v>6</v>
      </c>
      <c r="C273" s="1283">
        <f>MIN(B273,C293)</f>
        <v>0</v>
      </c>
      <c r="D273" s="108"/>
      <c r="E273" s="1074"/>
      <c r="F273" s="1274" t="s">
        <v>1742</v>
      </c>
      <c r="G273" s="1306"/>
      <c r="H273" s="1306"/>
      <c r="I273" s="1306">
        <f>I272</f>
        <v>1</v>
      </c>
      <c r="J273" s="1307">
        <v>0</v>
      </c>
      <c r="K273" s="1307">
        <v>0</v>
      </c>
      <c r="L273" s="1307">
        <v>0</v>
      </c>
      <c r="O273" s="1215" t="s">
        <v>1662</v>
      </c>
      <c r="P273" s="221">
        <f>P269</f>
        <v>6356.7523142245</v>
      </c>
      <c r="Q273" s="221">
        <f>P273*P274</f>
        <v>2834.8137100855697</v>
      </c>
      <c r="R273" s="221">
        <f>Q273^2</f>
        <v>8036168.7708891127</v>
      </c>
      <c r="S273" s="221"/>
      <c r="T273" s="1216"/>
      <c r="AB273" s="1318">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$270)</f>
        <v>0</v>
      </c>
      <c r="AC273" s="1285">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$270)</f>
        <v>0</v>
      </c>
      <c r="AD273" s="1324">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2)</f>
        <v>0</v>
      </c>
      <c r="AE273" s="132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row>
    <row r="274" spans="1:31" ht="14.4" customHeight="1">
      <c r="A274" s="620" t="s">
        <v>1698</v>
      </c>
      <c r="B274" s="397">
        <v>6</v>
      </c>
      <c r="C274" s="1283">
        <f>MIN(B274,C296)</f>
        <v>0</v>
      </c>
      <c r="D274" s="108"/>
      <c r="E274" s="1074"/>
      <c r="F274" s="1273" t="s">
        <v>1746</v>
      </c>
      <c r="G274" s="1269">
        <v>0.3</v>
      </c>
      <c r="H274" s="1269">
        <v>0.3</v>
      </c>
      <c r="I274" s="1269">
        <v>0.3</v>
      </c>
      <c r="J274" s="1271">
        <v>6</v>
      </c>
      <c r="O274" s="1217" t="s">
        <v>1664</v>
      </c>
      <c r="P274" s="1061">
        <f>SIN(P$266)</f>
        <v>0.44595314870804531</v>
      </c>
      <c r="Q274" s="1061"/>
      <c r="R274" s="1061"/>
      <c r="S274" s="1061"/>
      <c r="T274" s="1218"/>
    </row>
    <row r="275" spans="1:31" ht="14.4" customHeight="1">
      <c r="A275" s="620" t="s">
        <v>1699</v>
      </c>
      <c r="B275" s="397">
        <v>6</v>
      </c>
      <c r="C275" s="1283">
        <f>MIN(B275,C297)</f>
        <v>0</v>
      </c>
      <c r="D275" s="108"/>
      <c r="E275" s="1074"/>
      <c r="F275" s="1273" t="s">
        <v>1746</v>
      </c>
      <c r="G275" s="1269">
        <v>0.75</v>
      </c>
      <c r="H275" s="1269">
        <v>0.5</v>
      </c>
      <c r="I275" s="1269">
        <v>0.5</v>
      </c>
      <c r="J275" s="1272">
        <v>5.5</v>
      </c>
      <c r="O275" s="1215"/>
      <c r="P275" s="221"/>
      <c r="Q275" s="221"/>
      <c r="R275" s="221"/>
      <c r="S275" s="221"/>
      <c r="T275" s="1216"/>
    </row>
    <row r="276" spans="1:31" ht="14.4" customHeight="1">
      <c r="A276" s="620" t="s">
        <v>1700</v>
      </c>
      <c r="B276" s="397">
        <v>6</v>
      </c>
      <c r="C276" s="1283">
        <f>MIN(B276,C298)</f>
        <v>0</v>
      </c>
      <c r="D276" s="108"/>
      <c r="E276" s="1074"/>
      <c r="F276" s="1273" t="s">
        <v>1746</v>
      </c>
      <c r="G276" s="1269">
        <v>1</v>
      </c>
      <c r="H276" s="1269">
        <v>0.75</v>
      </c>
      <c r="I276" s="1269">
        <v>0.75</v>
      </c>
      <c r="J276" s="1272">
        <v>5</v>
      </c>
      <c r="O276" s="1215"/>
      <c r="P276" s="221"/>
      <c r="Q276" s="221"/>
      <c r="R276" s="221"/>
      <c r="S276" s="221"/>
      <c r="T276" s="1216"/>
    </row>
    <row r="277" spans="1:31" ht="14.4" customHeight="1">
      <c r="A277" t="s">
        <v>1752</v>
      </c>
      <c r="B277" s="397">
        <v>12</v>
      </c>
      <c r="C277" s="1376">
        <f>IF(B279=4,SUM(C299:C302),IF(SUM(D299:D302)=4,B279*C299,IF(AND(SUM(D299:D302)=7,COUNTIF(D299:D302,1)=3),B279*_xlfn.XLOOKUP(1,D299:D302,C299:C302),IF(SUM(D299:D302)=7,_xlfn.XLOOKUP(1,D299:D302,C299:C302)+(B279-1)*_xlfn.XLOOKUP(2,D299:D302,C299:C302),IF(SUM(D299:D302)=8,IF(B279&lt;3,B279*_xlfn.XLOOKUP(1,D299:D302,C299:C302),2*_xlfn.XLOOKUP(1,D299:D302,C299:C302)+IF(MAX(D299:D302)=4,_xlfn.XLOOKUP(2,D299:D302,C299:C302),_xlfn.XLOOKUP(3,D299:D302,C299:C302))),IF(SUM(D299:D302)=9,_xlfn.XLOOKUP(1,D299:D302,C299:C302)*MIN(B279,COUNTIF(D299:D302,1))+IFERROR(_xlfn.XLOOKUP(2,D299:D302,C299:C302),0)*MIN(B279-COUNTIF(D299:D302,1),COUNTIF(D299:D302,2))+IF(AND(B279=3,COUNTIF(D299:D302,3)&gt;0),_xlfn.XLOOKUP(3,D299:D302,C299:C302),0),IF(SUM(D299:D302)=10,_xlfn.XLOOKUP(1,D299:D302,C299:C302)*MIN(B279,COUNTIF(D299:D302,1))+IFERROR(_xlfn.XLOOKUP(2,D299:D302,C299:C302),0)*MIN(B279-COUNTIF(D299:D302,1),COUNTIF(D299:D302,2))+IF(B279=3,IFERROR(_xlfn.XLOOKUP(3,D299:D302,C299:C302),0)+IF(COUNTIF(D299:D302,3)=0,IFERROR(_xlfn.XLOOKUP(4,D299:D302,C299:C302),0),0),0),IF(SUM(D299:D302)=11,_xlfn.XLOOKUP(1,D299:D302,C299:C302)+IF(B279&gt;1,_xlfn.XLOOKUP(2,D299:D302,C299:C302)+IF(B376=3,_xlfn.XLOOKUP(4,D299:D302,C299:C302),0),0),_xlfn.XLOOKUP(1,D299:D302,C299:C302)+(B279-1)*_xlfn.XLOOKUP(4,D299:D302,C299:C302)))))))))</f>
        <v>0</v>
      </c>
      <c r="D277" s="108"/>
      <c r="E277" s="1074"/>
      <c r="F277" s="1273" t="s">
        <v>1746</v>
      </c>
      <c r="G277" s="1269">
        <v>1.25</v>
      </c>
      <c r="H277" s="1269">
        <v>1</v>
      </c>
      <c r="I277" s="1269">
        <v>1</v>
      </c>
      <c r="J277" s="1272">
        <v>4.5</v>
      </c>
      <c r="O277" s="1215"/>
      <c r="P277" s="221"/>
      <c r="Q277" s="221"/>
      <c r="R277" s="221"/>
      <c r="S277" s="221"/>
      <c r="T277" s="1216"/>
    </row>
    <row r="278" spans="1:31" ht="14.4" customHeight="1">
      <c r="A278" s="620" t="s">
        <v>1701</v>
      </c>
      <c r="B278" s="397">
        <v>4</v>
      </c>
      <c r="C278" s="1283"/>
      <c r="D278" s="108"/>
      <c r="E278" s="1074"/>
      <c r="F278" s="1273" t="s">
        <v>1746</v>
      </c>
      <c r="G278" s="1269">
        <v>1.5</v>
      </c>
      <c r="H278" s="1269">
        <v>1.25</v>
      </c>
      <c r="I278" s="1269">
        <v>1.25</v>
      </c>
      <c r="J278" s="1272">
        <v>4</v>
      </c>
      <c r="O278" s="1215"/>
      <c r="P278" s="221"/>
      <c r="Q278" s="221"/>
      <c r="R278" s="221"/>
      <c r="S278" s="221"/>
      <c r="T278" s="1216"/>
    </row>
    <row r="279" spans="1:31" ht="14.4" customHeight="1">
      <c r="A279" s="620" t="s">
        <v>1702</v>
      </c>
      <c r="B279" s="397">
        <v>3</v>
      </c>
      <c r="C279" s="1283"/>
      <c r="D279" s="108"/>
      <c r="E279" s="1074"/>
      <c r="F279" s="1273" t="s">
        <v>1746</v>
      </c>
      <c r="G279" s="1269">
        <v>1.75</v>
      </c>
      <c r="H279" s="1269">
        <v>1.5</v>
      </c>
      <c r="I279" s="1269">
        <v>1.5</v>
      </c>
      <c r="J279" s="1271">
        <v>3.5</v>
      </c>
      <c r="O279" s="1215"/>
      <c r="P279" s="221"/>
      <c r="Q279" s="221"/>
      <c r="R279" s="221"/>
      <c r="S279" s="221"/>
      <c r="T279" s="1216"/>
    </row>
    <row r="280" spans="1:31" ht="14.4" customHeight="1">
      <c r="A280" s="396" t="s">
        <v>1766</v>
      </c>
      <c r="C280" s="1298">
        <f>C$268+C$269+C$271+C$277</f>
        <v>0</v>
      </c>
      <c r="F280" s="1273" t="s">
        <v>1746</v>
      </c>
      <c r="G280" s="1269">
        <v>2</v>
      </c>
      <c r="H280" s="1269">
        <v>1.75</v>
      </c>
      <c r="I280" s="1269">
        <v>1.75</v>
      </c>
      <c r="J280" s="1272">
        <v>3</v>
      </c>
      <c r="O280" s="1215"/>
      <c r="P280" s="221"/>
      <c r="Q280" s="221"/>
      <c r="R280" s="221"/>
      <c r="S280" s="221"/>
      <c r="T280" s="1216"/>
    </row>
    <row r="281" spans="1:31" ht="14.4" customHeight="1">
      <c r="A281" s="871" t="s">
        <v>1692</v>
      </c>
      <c r="E281" s="1074"/>
      <c r="F281" s="1273" t="s">
        <v>1746</v>
      </c>
      <c r="G281" s="1269">
        <v>2.5</v>
      </c>
      <c r="H281" s="1269">
        <v>2</v>
      </c>
      <c r="I281" s="1269">
        <v>2</v>
      </c>
      <c r="J281" s="1272">
        <v>2.5</v>
      </c>
      <c r="O281" s="1215"/>
      <c r="P281" s="221"/>
      <c r="Q281" s="221"/>
      <c r="R281" s="221"/>
      <c r="S281" s="221"/>
      <c r="T281" s="1216"/>
    </row>
    <row r="282" spans="1:31" ht="14.4" customHeight="1">
      <c r="A282" t="s">
        <v>1693</v>
      </c>
      <c r="B282" s="603">
        <v>10.5</v>
      </c>
      <c r="C282" s="1283" t="str">
        <f>IF(County_Size="Large",IF(C$280&gt;=B282,"Meets","Fails"),"")</f>
        <v/>
      </c>
      <c r="D282" s="167"/>
      <c r="F282" s="1274" t="s">
        <v>1746</v>
      </c>
      <c r="G282" s="1275">
        <f>G281</f>
        <v>2.5</v>
      </c>
      <c r="H282" s="1275">
        <f>H281</f>
        <v>2</v>
      </c>
      <c r="I282" s="1303">
        <f>I281</f>
        <v>2</v>
      </c>
      <c r="J282" s="1276">
        <v>0</v>
      </c>
      <c r="K282" s="1137"/>
      <c r="L282" s="1137"/>
      <c r="O282" s="1215"/>
      <c r="P282" s="221"/>
      <c r="Q282" s="221"/>
      <c r="R282" s="221"/>
      <c r="S282" s="221"/>
      <c r="T282" s="1216"/>
    </row>
    <row r="283" spans="1:31" ht="14.4" customHeight="1">
      <c r="A283" t="s">
        <v>1747</v>
      </c>
      <c r="B283" s="603">
        <v>7</v>
      </c>
      <c r="C283" s="1283" t="str">
        <f>IF(County_Size="Medium",IF(C$280&gt;=B283,"Meets","Fails"),"")</f>
        <v/>
      </c>
      <c r="F283" s="1273" t="s">
        <v>1751</v>
      </c>
      <c r="G283" s="1269">
        <v>0.3</v>
      </c>
      <c r="H283" s="1269">
        <v>0.3</v>
      </c>
      <c r="I283" s="1269">
        <v>0.3</v>
      </c>
      <c r="J283" s="1271">
        <v>4</v>
      </c>
      <c r="O283" s="1215"/>
      <c r="P283" s="221"/>
      <c r="Q283" s="221"/>
      <c r="R283" s="221"/>
      <c r="S283" s="221"/>
      <c r="T283" s="1216"/>
    </row>
    <row r="284" spans="1:31" ht="14.4" customHeight="1">
      <c r="A284" t="s">
        <v>1748</v>
      </c>
      <c r="B284" s="603">
        <v>4</v>
      </c>
      <c r="C284" s="1283" t="str">
        <f>IF(County_Size="Small",IF(C$280&gt;=B284,"Meets","Fails"),"")</f>
        <v/>
      </c>
      <c r="D284" s="167"/>
      <c r="F284" s="1273" t="s">
        <v>1751</v>
      </c>
      <c r="G284" s="1269">
        <v>0.75</v>
      </c>
      <c r="H284" s="1269">
        <v>0.5</v>
      </c>
      <c r="I284" s="1269">
        <v>0.5</v>
      </c>
      <c r="J284" s="1271">
        <v>3.5</v>
      </c>
      <c r="O284" s="1215"/>
      <c r="P284" s="221"/>
      <c r="Q284" s="221"/>
      <c r="R284" s="221"/>
      <c r="S284" s="221"/>
      <c r="T284" s="1216"/>
    </row>
    <row r="285" spans="1:31" ht="14.4" customHeight="1">
      <c r="A285" s="871" t="s">
        <v>1767</v>
      </c>
      <c r="F285" s="1273" t="s">
        <v>1751</v>
      </c>
      <c r="G285" s="1269">
        <v>1</v>
      </c>
      <c r="H285" s="1269">
        <v>0.75</v>
      </c>
      <c r="I285" s="1269">
        <v>0.75</v>
      </c>
      <c r="J285" s="1272">
        <v>3</v>
      </c>
      <c r="O285" s="1215"/>
      <c r="P285" s="221"/>
      <c r="Q285" s="221"/>
      <c r="R285" s="221"/>
      <c r="S285" s="221"/>
      <c r="T285" s="1216"/>
    </row>
    <row r="286" spans="1:31" ht="14.4" customHeight="1">
      <c r="A286" t="s">
        <v>1693</v>
      </c>
      <c r="B286" s="603">
        <v>12.5</v>
      </c>
      <c r="C286" s="167" t="str">
        <f>IF(County_Size="Large",IF(C$280&gt;=B286,"Meets","Fails"),"")</f>
        <v/>
      </c>
      <c r="F286" s="1273" t="s">
        <v>1751</v>
      </c>
      <c r="G286" s="1269">
        <v>1.25</v>
      </c>
      <c r="H286" s="1269">
        <v>1</v>
      </c>
      <c r="I286" s="1269">
        <v>1</v>
      </c>
      <c r="J286" s="1272">
        <v>2.5</v>
      </c>
      <c r="O286" s="1215"/>
      <c r="P286" s="221"/>
      <c r="Q286" s="221"/>
      <c r="R286" s="221"/>
      <c r="S286" s="221"/>
      <c r="T286" s="1216"/>
    </row>
    <row r="287" spans="1:31" ht="14.4" customHeight="1">
      <c r="A287" t="s">
        <v>1768</v>
      </c>
      <c r="B287" s="603">
        <v>9</v>
      </c>
      <c r="C287" s="167" t="str">
        <f>IF(County_Size="Medium",IF(C$280&gt;=B287,"Meets","Fails"),"")</f>
        <v/>
      </c>
      <c r="F287" s="1273" t="s">
        <v>1751</v>
      </c>
      <c r="G287" s="1269">
        <v>1.5</v>
      </c>
      <c r="H287" s="1269">
        <v>1.25</v>
      </c>
      <c r="I287" s="1269">
        <v>1.25</v>
      </c>
      <c r="J287" s="1272">
        <v>2</v>
      </c>
    </row>
    <row r="288" spans="1:31">
      <c r="A288" t="s">
        <v>1769</v>
      </c>
      <c r="B288" s="603">
        <v>6</v>
      </c>
      <c r="C288" s="167" t="str">
        <f>IF(County_Size="Small",IF(C$280&gt;=B288,"Meets","Fails"),"")</f>
        <v/>
      </c>
      <c r="F288" s="1273" t="s">
        <v>1751</v>
      </c>
      <c r="G288" s="1269">
        <v>1.75</v>
      </c>
      <c r="H288" s="1269">
        <v>1.5</v>
      </c>
      <c r="I288" s="1269">
        <v>1.5</v>
      </c>
      <c r="J288" s="1271">
        <v>1.5</v>
      </c>
    </row>
    <row r="289" spans="1:12">
      <c r="A289" s="871" t="s">
        <v>1771</v>
      </c>
      <c r="F289" s="1273" t="s">
        <v>1751</v>
      </c>
      <c r="G289" s="1269">
        <v>2</v>
      </c>
      <c r="H289" s="1269">
        <v>1.75</v>
      </c>
      <c r="I289" s="1269">
        <v>1.75</v>
      </c>
      <c r="J289" s="1272">
        <v>1</v>
      </c>
    </row>
    <row r="290" spans="1:12">
      <c r="A290" t="s">
        <v>1772</v>
      </c>
      <c r="B290" s="603">
        <v>1.5</v>
      </c>
      <c r="C290" s="167" t="str">
        <f>IF(AND(County_Size="Large",OR(PHA_Prox_boost="Yes",RD_Prox_boost="Yes")),IF(C$271&gt;=B290,"Meets","Fails"),"")</f>
        <v/>
      </c>
      <c r="E290" s="1249" t="s">
        <v>1770</v>
      </c>
      <c r="F290" s="1273" t="s">
        <v>1751</v>
      </c>
      <c r="G290" s="1269">
        <v>2.25</v>
      </c>
      <c r="H290" s="1269">
        <v>2</v>
      </c>
      <c r="I290" s="1269">
        <v>2</v>
      </c>
      <c r="J290" s="1272">
        <v>0.5</v>
      </c>
    </row>
    <row r="291" spans="1:12">
      <c r="A291" t="s">
        <v>1773</v>
      </c>
      <c r="B291" s="603">
        <v>2</v>
      </c>
      <c r="C291" s="167" t="str">
        <f>IF(AND(County_Size="Large",PHA_Prox_boost&lt;&gt;"Yes",RD_Prox_boost&lt;&gt;"Yes"),IF(C$271&gt;=B291,"Meets","Fails"),"")</f>
        <v/>
      </c>
      <c r="E291" s="1296" t="s">
        <v>1753</v>
      </c>
      <c r="F291" s="1274" t="s">
        <v>1751</v>
      </c>
      <c r="G291" s="1275">
        <f>G290</f>
        <v>2.25</v>
      </c>
      <c r="H291" s="1275">
        <f>H290</f>
        <v>2</v>
      </c>
      <c r="I291" s="1303">
        <f>I290</f>
        <v>2</v>
      </c>
      <c r="J291" s="1276">
        <v>0</v>
      </c>
      <c r="K291" s="1137"/>
      <c r="L291" s="1137"/>
    </row>
    <row r="292" spans="1:12">
      <c r="B292" s="1249" t="s">
        <v>1776</v>
      </c>
      <c r="C292" s="1249" t="s">
        <v>1778</v>
      </c>
      <c r="D292" s="1249" t="s">
        <v>1777</v>
      </c>
      <c r="E292" s="1296" t="s">
        <v>1754</v>
      </c>
      <c r="F292" s="1278" t="s">
        <v>329</v>
      </c>
      <c r="G292" s="1269">
        <v>0.75</v>
      </c>
      <c r="H292" s="1269">
        <v>0.5</v>
      </c>
      <c r="I292" s="1269">
        <v>0.5</v>
      </c>
      <c r="J292" s="1271">
        <v>4</v>
      </c>
    </row>
    <row r="293" spans="1:12">
      <c r="A293" s="221" t="s">
        <v>317</v>
      </c>
      <c r="B293" s="1284">
        <f>Transit_PBS1_distance</f>
        <v>0</v>
      </c>
      <c r="C293" s="1775">
        <f>IF(SUM(B293:B295)=0,0,IF(County_Size="Small",IF(MAX(B293:B295)&lt;=G268,CHOOSE(COUNTIF(B293:B295,"&gt;0")+1,0,J268,K268,L268),IF(MAX(B293:B295)&lt;=G269,CHOOSE(COUNTIF(B293:B295,"&gt;0")+1,0,J269,K269,L269),IF(MAX(B293:B295)&lt;=G270,CHOOSE(COUNTIF(B293:B295,"&gt;0")+1,0,J270,K270,L270),IF(MAX(B293:B295)&lt;=G271,CHOOSE(COUNTIF(B293:B295,"&gt;0")+1,0,J271,K271,L271),0)))),IF(County_Size="Medium",IF(MAX(B293:B295)&lt;=H268,CHOOSE(COUNTIF(B293:B295,"&gt;0")+1,0,J268,K268,L268),IF(MAX(B293:B295)&lt;=H269,CHOOSE(COUNTIF(B293:B295,"&gt;0")+1,0,J269,K269,L269),IF(MAX(B293:B295)&lt;=H270,CHOOSE(COUNTIF(B293:B295,"&gt;0")+1,0,J270,K270,L270),IF(MAX(B293:B295)&lt;=H271,CHOOSE(COUNTIF(B293:B295,"&gt;0")+1,0,J271,K271,L271),0)))),IF(County_Size="Large",IF(MAX(B293:B295)&lt;=I268,CHOOSE(COUNTIF(B293:B295,"&gt;0")+1,0,J268,K268,L268),IF(MAX(B293:B295)&lt;=I269,CHOOSE(COUNTIF(B293:B295,"&gt;0")+1,0,J269,K269,L269),IF(MAX(B293:B295)&lt;=I270,CHOOSE(COUNTIF(B293:B295,"&gt;0")+1,0,J270,K270,L270),IF(MAX(B293:B295)&lt;=I271,CHOOSE(COUNTIF(B293:B295,"&gt;0")+1,0,J271,K271,L271),0)))),""))))</f>
        <v>0</v>
      </c>
      <c r="D293" s="128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293" s="1296" t="s">
        <v>1755</v>
      </c>
      <c r="F293" s="1277" t="s">
        <v>329</v>
      </c>
      <c r="G293" s="1269">
        <v>1</v>
      </c>
      <c r="H293" s="1269">
        <v>0.75</v>
      </c>
      <c r="I293" s="1269">
        <v>0.75</v>
      </c>
      <c r="J293" s="1271">
        <v>3.5</v>
      </c>
    </row>
    <row r="294" spans="1:12">
      <c r="A294" s="221" t="s">
        <v>318</v>
      </c>
      <c r="B294" s="1284">
        <f>Transit_PBS2_distance</f>
        <v>0</v>
      </c>
      <c r="C294" s="1775"/>
      <c r="D294" s="128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294" s="1296" t="s">
        <v>1762</v>
      </c>
      <c r="F294" s="1277" t="s">
        <v>329</v>
      </c>
      <c r="G294" s="1269">
        <v>1.25</v>
      </c>
      <c r="H294" s="1269">
        <v>1</v>
      </c>
      <c r="I294" s="1269">
        <v>1</v>
      </c>
      <c r="J294" s="1272">
        <v>3</v>
      </c>
    </row>
    <row r="295" spans="1:12">
      <c r="A295" s="1137" t="s">
        <v>319</v>
      </c>
      <c r="B295" s="1285">
        <f>Transit_PBS3_distance</f>
        <v>0</v>
      </c>
      <c r="C295" s="1776"/>
      <c r="D295" s="131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295" s="1296" t="s">
        <v>1759</v>
      </c>
      <c r="F295" s="1277" t="s">
        <v>329</v>
      </c>
      <c r="G295" s="1269">
        <v>1.5</v>
      </c>
      <c r="H295" s="1269">
        <v>1.25</v>
      </c>
      <c r="I295" s="1269">
        <v>1.25</v>
      </c>
      <c r="J295" s="1272">
        <v>2.5</v>
      </c>
    </row>
    <row r="296" spans="1:12">
      <c r="A296" t="s">
        <v>320</v>
      </c>
      <c r="B296" s="1188">
        <f>Transit_BTS_distance</f>
        <v>0</v>
      </c>
      <c r="C296" s="1283">
        <f>IF(B296=0,0,IF(County_Size="Small",IF(B296&lt;=G$274,J$274,IF(B296&lt;=G$275,J$275,IF(B296&lt;=G$276,J$276,IF(B296&lt;=G$277,J$277,IF(B296&lt;=G$278,J$278,IF(B296&lt;=G$279,J$279,IF(B296&lt;=G$280,J$280,IF(B296&lt;=G$281,J$281,0)))))))),IF(County_Size="Medium",IF(B296&lt;=H$274,J$274,IF(B296&lt;=H$275,J$275,IF(B296&lt;=H$276,J$276,IF(B296&lt;=H$277,J$277,IF(B296&lt;=H$278,J$278,IF(B296&lt;=H$279,J$279,IF(B296&lt;=H$280,J$280,IF(B296&lt;=H$281,J$281,0)))))))),IF(County_Size="Large",IF(B296&lt;=H$274,J$274,IF(B296&lt;=I$275,J$275,IF(B296&lt;=I$276,J$276,IF(B296&lt;=I$277,J$277,IF(B296&lt;=I$278,J$278,IF(B296&lt;=I$279,J$279,IF(B296&lt;=I$280,J$280,IF(B296&lt;=I$281,J$281,0)))))))),""))))</f>
        <v>0</v>
      </c>
      <c r="D296" s="128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296" s="1296" t="s">
        <v>1761</v>
      </c>
      <c r="F296" s="1277" t="s">
        <v>329</v>
      </c>
      <c r="G296" s="1269">
        <v>1.75</v>
      </c>
      <c r="H296" s="1269">
        <v>1.5</v>
      </c>
      <c r="I296" s="1269">
        <v>1.5</v>
      </c>
      <c r="J296" s="1272">
        <v>2</v>
      </c>
    </row>
    <row r="297" spans="1:12">
      <c r="A297" t="s">
        <v>2131</v>
      </c>
      <c r="B297" s="1188">
        <f>Transit_PBRTS_distance</f>
        <v>0</v>
      </c>
      <c r="C297" s="1283">
        <f>IF(B297=0,0,IF(County_Size="Small",IF(B297&lt;=G$274,J$274,IF(B297&lt;=G$275,J$275,IF(B297&lt;=G$276,J$276,IF(B297&lt;=G$277,J$277,IF(B297&lt;=G$278,J$278,IF(B297&lt;=G$279,J$279,IF(B297&lt;=G$280,J$280,IF(B297&lt;=G$281,J$281,0)))))))),IF(County_Size="Medium",IF(B297&lt;=H$274,J$274,IF(B297&lt;=H$275,J$275,IF(B297&lt;=H$276,J$276,IF(B297&lt;=H$277,J$277,IF(B297&lt;=H$278,J$278,IF(B297&lt;=H$279,J$279,IF(B297&lt;=H$280,J$280,IF(B297&lt;=H$281,J$281,0)))))))),IF(County_Size="Large",IF(B297&lt;=H$274,J$274,IF(B297&lt;=I$275,J$275,IF(B297&lt;=I$276,J$276,IF(B297&lt;=I$277,J$277,IF(B297&lt;=I$278,J$278,IF(B297&lt;=I$279,J$279,IF(B297&lt;=I$280,J$280,IF(B297&lt;=I$281,J$281,0)))))))),""))))</f>
        <v>0</v>
      </c>
      <c r="D297" s="128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297" s="1296" t="s">
        <v>1756</v>
      </c>
      <c r="F297" s="1277" t="s">
        <v>329</v>
      </c>
      <c r="G297" s="1269">
        <v>2</v>
      </c>
      <c r="H297" s="1269">
        <v>1.75</v>
      </c>
      <c r="I297" s="1269">
        <v>1.75</v>
      </c>
      <c r="J297" s="1271">
        <v>1.5</v>
      </c>
    </row>
    <row r="298" spans="1:12">
      <c r="A298" s="1137" t="s">
        <v>1660</v>
      </c>
      <c r="B298" s="1285">
        <f>Transit_Rail_distance</f>
        <v>0</v>
      </c>
      <c r="C298" s="1286">
        <f>IF(B298=0,0,IF(County_Size="Small",IF(B298&lt;=G$274,J$274,IF(B298&lt;=G$275,J$275,IF(B298&lt;=G$276,J$276,IF(B298&lt;=G$277,J$277,IF(B298&lt;=G$278,J$278,IF(B298&lt;=G$279,J$279,IF(B298&lt;=G$280,J$280,IF(B298&lt;=G$281,J$281,0)))))))),IF(County_Size="Medium",IF(B298&lt;=H$274,J$274,IF(B298&lt;=H$275,J$275,IF(B298&lt;=H$276,J$276,IF(B298&lt;=H$277,J$277,IF(B298&lt;=H$278,J$278,IF(B298&lt;=H$279,J$279,IF(B298&lt;=H$280,J$280,IF(B298&lt;=H$281,J$281,0)))))))),IF(County_Size="Large",IF(B298&lt;=H$274,J$274,IF(B298&lt;=I$275,J$275,IF(B298&lt;=I$276,J$276,IF(B298&lt;=I$277,J$277,IF(B298&lt;=I$278,J$278,IF(B298&lt;=I$279,J$279,IF(B298&lt;=I$280,J$280,IF(B298&lt;=I$281,J$281,0)))))))),""))))</f>
        <v>0</v>
      </c>
      <c r="D298" s="131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298" s="1296" t="s">
        <v>1758</v>
      </c>
      <c r="F298" s="1277" t="s">
        <v>329</v>
      </c>
      <c r="G298" s="1269">
        <v>2.25</v>
      </c>
      <c r="H298" s="1269">
        <v>2</v>
      </c>
      <c r="I298" s="1269">
        <v>2</v>
      </c>
      <c r="J298" s="1272">
        <v>1</v>
      </c>
    </row>
    <row r="299" spans="1:12">
      <c r="A299" t="s">
        <v>326</v>
      </c>
      <c r="B299" s="1188">
        <f>Grocery_Distance</f>
        <v>0</v>
      </c>
      <c r="C299" s="1283">
        <f>IF(B299=0,0,MIN(B$278,IF(County_Size="Small",IF(B299&lt;=G$283,J$283,IF(B299&lt;=G$284,J$284,IF(B299&lt;=G$285,J$285,IF(B299&lt;=G$286,J$286,IF(B299&lt;=G$287,J$287,IF(B299&lt;=G$288,J$288,IF(B299&lt;=G$289,J$289,IF(B299&lt;=G$290,J$290,0)))))))),IF(County_Size="Medium",IF(B299&lt;=H$283,J$283,IF(B299&lt;=H$284,J$284,IF(B299&lt;=H$285,J$285,IF(B299&lt;=H$286,J$286,IF(B299&lt;=H$287,J$287,IF(B299&lt;=H$288,J$288,IF(B299&lt;=H$289,J$289,IF(B299&lt;=H$290,J$290,0)))))))),IF(County_Size="Large",IF(B299&lt;=I$283,J$283,IF(B299&lt;=I$284,J$284,IF(B299&lt;=I$285,J$285,IF(B299&lt;=I$286,J$286,IF(B299&lt;=I$287,J$287,IF(B299&lt;=I$288,J$288,IF(B299&lt;=I$289,J$289,IF(B299&lt;=I$290,J$290,0)))))))),"")))))</f>
        <v>0</v>
      </c>
      <c r="D299" s="167">
        <f>RANK(C299,C$299:C$302,0)</f>
        <v>1</v>
      </c>
      <c r="E299" s="1296" t="s">
        <v>1763</v>
      </c>
      <c r="F299" s="1279" t="s">
        <v>329</v>
      </c>
      <c r="G299" s="1275">
        <f>G298</f>
        <v>2.25</v>
      </c>
      <c r="H299" s="1275">
        <f>H298</f>
        <v>2</v>
      </c>
      <c r="I299" s="1303">
        <f>I298</f>
        <v>2</v>
      </c>
      <c r="J299" s="1276">
        <v>0</v>
      </c>
      <c r="K299" s="1137"/>
      <c r="L299" s="1137"/>
    </row>
    <row r="300" spans="1:12">
      <c r="A300" t="s">
        <v>327</v>
      </c>
      <c r="B300" s="1188">
        <f>Medical_Distance</f>
        <v>0</v>
      </c>
      <c r="C300" s="1283">
        <f>IF(B300=0,0,MIN(B$278,IF(County_Size="Small",IF(B300&lt;=G$283,J$283,IF(B300&lt;=G$284,J$284,IF(B300&lt;=G$285,J$285,IF(B300&lt;=G$286,J$286,IF(B300&lt;=G$287,J$287,IF(B300&lt;=G$288,J$288,IF(B300&lt;=G$289,J$289,IF(B300&lt;=G$290,J$290,0)))))))),IF(County_Size="Medium",IF(B300&lt;=H$283,J$283,IF(B300&lt;=H$284,J$284,IF(B300&lt;=H$285,J$285,IF(B300&lt;=H$286,J$286,IF(B300&lt;=H$287,J$287,IF(B300&lt;=H$288,J$288,IF(B300&lt;=H$289,J$289,IF(B300&lt;=H$290,J$290,0)))))))),IF(County_Size="Large",IF(B300&lt;=I$283,J$283,IF(B300&lt;=I$284,J$284,IF(B300&lt;=I$285,J$285,IF(B300&lt;=I$286,J$286,IF(B300&lt;=I$287,J$287,IF(B300&lt;=I$288,J$288,IF(B300&lt;=I$289,J$289,IF(B300&lt;=I$290,J$290,0)))))))),"")))))</f>
        <v>0</v>
      </c>
      <c r="D300" s="167">
        <f>RANK(C300,C$299:C$302,0)</f>
        <v>1</v>
      </c>
      <c r="E300" s="1296" t="s">
        <v>1757</v>
      </c>
    </row>
    <row r="301" spans="1:12">
      <c r="A301" s="1053" t="s">
        <v>328</v>
      </c>
      <c r="B301" s="1291">
        <f>Pharmacy_Distance</f>
        <v>0</v>
      </c>
      <c r="C301" s="1292">
        <f>IF(B301=0,0,MIN(B$278,IF(County_Size="Small",IF(B301&lt;=G$283,J$283,IF(B301&lt;=G$284,J$284,IF(B301&lt;=G$285,J$285,IF(B301&lt;=G$286,J$286,IF(B301&lt;=G$287,J$287,IF(B301&lt;=G$288,J$288,IF(B301&lt;=G$289,J$289,IF(B301&lt;=G$290,J$290,0)))))))),IF(County_Size="Medium",IF(B301&lt;=H$283,J$283,IF(B301&lt;=H$284,J$284,IF(B301&lt;=H$285,J$285,IF(B301&lt;=H$286,J$286,IF(B301&lt;=H$287,J$287,IF(B301&lt;=H$288,J$288,IF(B301&lt;=H$289,J$289,IF(B301&lt;=H$290,J$290,0)))))))),IF(County_Size="Large",IF(B301&lt;=I$283,J$283,IF(B301&lt;=I$284,J$284,IF(B301&lt;=I$285,J$285,IF(B301&lt;=I$286,J$286,IF(B301&lt;=I$287,J$287,IF(B301&lt;=I$288,J$288,IF(B301&lt;=I$289,J$289,IF(B301&lt;=I$290,J$290,0)))))))),"")))))</f>
        <v>0</v>
      </c>
      <c r="D301" s="167">
        <f>RANK(C301,C$299:C$302,0)</f>
        <v>1</v>
      </c>
      <c r="E301" s="1282" t="s">
        <v>1764</v>
      </c>
    </row>
    <row r="302" spans="1:12">
      <c r="A302" s="1137" t="s">
        <v>329</v>
      </c>
      <c r="B302" s="1285">
        <f>School_Distance</f>
        <v>0</v>
      </c>
      <c r="C302" s="1286">
        <f>IF(B302=0,0,MIN(B$278,IF(County_Size="Small",IF(B302&lt;=G$292,J$292,IF(B302&lt;=G$293,J$293,IF(B302&lt;=G$294,J$294,IF(B302&lt;=G$295,J$295,IF(B302&lt;=G$296,J$296,IF(B302&lt;=G$297,J$297,IF(B302&lt;=G$298,J$298,0))))))),IF(County_Size="Medium",IF(B302&lt;=H$292,J$292,IF(B302&lt;=H$293,J$293,IF(B302&lt;=H$294,J$294,IF(B302&lt;=H$295,J$295,IF(B302&lt;=H$296,J$296,IF(B302&lt;=H$297,J$297,IF(B302&lt;=H$298,J$298,0))))))),IF(County_Size="Large",IF(B302&lt;=I$292,J$292,IF(B302&lt;=I$293,J$293,IF(B302&lt;=I$294,J$294,IF(B302&lt;=I$295,J$295,IF(B302&lt;=I$296,J$296,IF(B302&lt;=I$297,J$297,IF(B302&lt;=I$298,J$298,0))))))),"")))))</f>
        <v>0</v>
      </c>
      <c r="D302" s="1297">
        <f>RANK(C302,C$299:C$302,0)</f>
        <v>1</v>
      </c>
      <c r="E302" s="1282" t="s">
        <v>1765</v>
      </c>
    </row>
    <row r="305" spans="1:6">
      <c r="A305" s="1186" t="s">
        <v>1654</v>
      </c>
      <c r="B305" s="1773">
        <f>COUNT('Proximity, Mand.Dist., RECAP'!H24:H26)</f>
        <v>0</v>
      </c>
      <c r="C305" s="1774"/>
      <c r="F305" s="1290" t="s">
        <v>2132</v>
      </c>
    </row>
    <row r="306" spans="1:6">
      <c r="A306" s="1187" t="s">
        <v>1655</v>
      </c>
      <c r="B306" s="1771">
        <f>MAX('Proximity, Mand.Dist., RECAP'!H24:H26)</f>
        <v>0</v>
      </c>
      <c r="C306" s="1772"/>
    </row>
    <row r="308" spans="1:6">
      <c r="A308" s="1221" t="s">
        <v>1749</v>
      </c>
    </row>
    <row r="309" spans="1:6">
      <c r="A309" s="1221" t="s">
        <v>1750</v>
      </c>
    </row>
    <row r="311" spans="1:6">
      <c r="A311" s="871" t="s">
        <v>1703</v>
      </c>
    </row>
    <row r="312" spans="1:6">
      <c r="A312" t="s">
        <v>1924</v>
      </c>
    </row>
    <row r="313" spans="1:6">
      <c r="A313" t="s">
        <v>1925</v>
      </c>
      <c r="E313" s="1188"/>
    </row>
    <row r="315" spans="1:6" ht="18" customHeight="1">
      <c r="A315" s="1257" t="s">
        <v>1243</v>
      </c>
      <c r="B315" s="108"/>
      <c r="C315" s="1249" t="s">
        <v>1779</v>
      </c>
      <c r="D315" s="108"/>
      <c r="E315" s="1074" t="s">
        <v>1241</v>
      </c>
    </row>
    <row r="316" spans="1:6">
      <c r="A316" s="208" t="s">
        <v>1974</v>
      </c>
      <c r="B316" s="397">
        <v>4</v>
      </c>
      <c r="C316" s="1387" t="s">
        <v>196</v>
      </c>
      <c r="E316" s="137" t="s">
        <v>1281</v>
      </c>
      <c r="F316" s="725" t="str">
        <f>IF(AND(County="Monroe",C319="Yes"),DS_Min_Units_Keys,IF(AND(County="Miami-Dade",C320="Yes"),IF(MD_N_S=F250,DS_Min_Units_No_MiamiDade,DS_Min_Units_So_MiamiDade),IF(AND(County="Pinellas",C322="Yes"),DS_Min_Units_Pinellas,IF(AND(OR(County="Broward",County="Duval",County="Hillsborough",County="Orange",County="Palm Beach"),C323="Yes"),DS_Min_Units_6Large,IF(AND(County_Size="Small",C316="Yes"),DS_Min_Units_General_Small,IF(AND(County_Size="Medium",C317="Yes"),DS_Min_Units_General_Medium,IF(AND(County_Size="Large",C318="Yes"),DS_Min_Units_General_Large,"TBD")))))))</f>
        <v>TBD</v>
      </c>
    </row>
    <row r="317" spans="1:6">
      <c r="A317" s="208" t="s">
        <v>1975</v>
      </c>
      <c r="B317" s="397">
        <v>10</v>
      </c>
      <c r="C317" s="1388" t="s">
        <v>196</v>
      </c>
      <c r="E317" s="137"/>
      <c r="F317" s="725"/>
    </row>
    <row r="318" spans="1:6">
      <c r="A318" s="208" t="s">
        <v>1976</v>
      </c>
      <c r="B318" s="397">
        <v>10</v>
      </c>
      <c r="C318" s="1388" t="s">
        <v>196</v>
      </c>
      <c r="E318" s="137"/>
      <c r="F318" s="725"/>
    </row>
    <row r="319" spans="1:6">
      <c r="A319" s="208" t="s">
        <v>872</v>
      </c>
      <c r="B319" s="398">
        <v>20</v>
      </c>
      <c r="C319" s="1337" t="s">
        <v>197</v>
      </c>
    </row>
    <row r="320" spans="1:6">
      <c r="A320" s="208" t="s">
        <v>1480</v>
      </c>
      <c r="B320" s="398">
        <v>75</v>
      </c>
      <c r="C320" s="1777" t="s">
        <v>197</v>
      </c>
      <c r="F320" t="s">
        <v>1100</v>
      </c>
    </row>
    <row r="321" spans="1:6">
      <c r="A321" s="208" t="s">
        <v>1481</v>
      </c>
      <c r="B321" s="397">
        <v>110</v>
      </c>
      <c r="C321" s="1751"/>
      <c r="F321" t="s">
        <v>1101</v>
      </c>
    </row>
    <row r="322" spans="1:6">
      <c r="A322" s="208" t="s">
        <v>1242</v>
      </c>
      <c r="B322" s="397">
        <v>50</v>
      </c>
      <c r="C322" s="1338" t="s">
        <v>197</v>
      </c>
    </row>
    <row r="323" spans="1:6">
      <c r="A323" s="1431" t="s">
        <v>1477</v>
      </c>
      <c r="B323" s="397">
        <v>75</v>
      </c>
      <c r="C323" s="1338" t="s">
        <v>197</v>
      </c>
      <c r="D323" s="1053"/>
      <c r="E323" s="1053"/>
      <c r="F323" s="1053" t="s">
        <v>1478</v>
      </c>
    </row>
    <row r="324" spans="1:6">
      <c r="A324" s="208" t="s">
        <v>1977</v>
      </c>
      <c r="B324" s="397">
        <v>15</v>
      </c>
      <c r="C324" s="1419" t="str">
        <f>C316</f>
        <v>Yes</v>
      </c>
      <c r="D324" s="221"/>
      <c r="E324" s="137" t="s">
        <v>1282</v>
      </c>
      <c r="F324" s="725" t="str">
        <f>IF(AND(OR(Development_Category="New Construction",Development_Category="Redevelopment",Development_Category="Acquisition and Redevelopment"),Demographic="Elderly Non-ALF",OR(County="Broward",County="Miami-Dade"),C327="Yes"),DS_MaxUnits_NC_E_BMD,IF(AND(OR(Development_Category="New Construction",Development_Category="Redevelopment",Development_Category="Acquisition and Redevelopment"),Demographic="Elderly Non-ALF",AND(County&lt;&gt;"Broward",County&lt;&gt;"Miami-Dade"),C328="Yes"),DS_MaxUnits_NC_E_NonBMD,IF(AND(OR(Development_Category="New Construction",Development_Category="Redevelopment",Development_Category="Acquisition and Redevelopment"),Demographic="Elderly ALF",C329="Yes"),DS_MaxUnits_NC_ALF,IF(AND(OR(Development_Category="New Construction",Development_Category="Redevelopment",Development_Category="Acquisition and Redevelopment"),Demographic="Family",N(MMRB_Request_Amount)&gt;0,C330="Yes"),DS_MaxUnits_NC_F_MMRB,IF(AND(OR(Development_Category="Preservation",Development_Category="Acquisition and Preservation"),OR(Demographic="Family",Demographic="Elderly Non-ALF",Demographic="Persons with a Disability"),C331="Yes"),B331,IF(AND(County_Size="Small",C324="Yes"),DS_Max_Units_General_Small,IF(AND(County_Size="Medium",C325="Yes"),DS_Max_Units_General_Medium,IF(AND(County_Size="Large",C326="Yes"),DS_Max_Units_General_Large,IF(OR(Name_Of_Applicant="",Name_of_proposed_Development="",County="&lt;select one&gt;"),"TBD","No Limit")))))))))</f>
        <v>TBD</v>
      </c>
    </row>
    <row r="325" spans="1:6">
      <c r="A325" s="208" t="s">
        <v>1978</v>
      </c>
      <c r="B325" s="397">
        <v>30</v>
      </c>
      <c r="C325" s="1420" t="str">
        <f>C317</f>
        <v>Yes</v>
      </c>
      <c r="D325" s="221"/>
      <c r="E325" s="221"/>
      <c r="F325" s="221"/>
    </row>
    <row r="326" spans="1:6">
      <c r="A326" s="208" t="s">
        <v>1979</v>
      </c>
      <c r="B326" s="397">
        <v>30</v>
      </c>
      <c r="C326" s="1420" t="str">
        <f>C318</f>
        <v>Yes</v>
      </c>
      <c r="D326" s="221"/>
      <c r="E326" s="221"/>
      <c r="F326" s="221"/>
    </row>
    <row r="327" spans="1:6">
      <c r="A327" t="s">
        <v>1279</v>
      </c>
      <c r="B327" s="397">
        <v>200</v>
      </c>
      <c r="C327" s="1388" t="s">
        <v>197</v>
      </c>
      <c r="D327" t="s">
        <v>8</v>
      </c>
      <c r="F327" t="s">
        <v>1280</v>
      </c>
    </row>
    <row r="328" spans="1:6">
      <c r="A328" t="s">
        <v>1479</v>
      </c>
      <c r="B328" s="397">
        <v>160</v>
      </c>
      <c r="C328" s="1388" t="s">
        <v>197</v>
      </c>
      <c r="D328" t="s">
        <v>8</v>
      </c>
      <c r="F328" t="s">
        <v>1280</v>
      </c>
    </row>
    <row r="329" spans="1:6">
      <c r="A329" t="s">
        <v>1484</v>
      </c>
      <c r="B329" s="397">
        <v>125</v>
      </c>
      <c r="C329" s="1388" t="s">
        <v>197</v>
      </c>
      <c r="D329" t="s">
        <v>9</v>
      </c>
      <c r="F329" t="s">
        <v>1280</v>
      </c>
    </row>
    <row r="330" spans="1:6">
      <c r="A330" t="s">
        <v>1485</v>
      </c>
      <c r="B330" s="397">
        <v>300</v>
      </c>
      <c r="C330" s="1388" t="s">
        <v>197</v>
      </c>
      <c r="D330" t="s">
        <v>7</v>
      </c>
      <c r="F330" t="s">
        <v>1280</v>
      </c>
    </row>
    <row r="331" spans="1:6">
      <c r="A331" t="s">
        <v>1483</v>
      </c>
      <c r="B331" s="397">
        <v>250</v>
      </c>
      <c r="C331" s="1388" t="s">
        <v>197</v>
      </c>
      <c r="D331" t="s">
        <v>1482</v>
      </c>
    </row>
    <row r="332" spans="1:6">
      <c r="C332" s="1430"/>
    </row>
    <row r="333" spans="1:6" ht="18" customHeight="1">
      <c r="A333" s="1257" t="s">
        <v>496</v>
      </c>
      <c r="B333" s="1258" t="s">
        <v>4</v>
      </c>
      <c r="C333" s="1258" t="s">
        <v>5</v>
      </c>
      <c r="D333" s="1258" t="s">
        <v>6</v>
      </c>
      <c r="E333" s="1074" t="s">
        <v>1235</v>
      </c>
      <c r="F333" s="111" t="s">
        <v>2</v>
      </c>
    </row>
    <row r="334" spans="1:6">
      <c r="A334" s="104" t="s">
        <v>120</v>
      </c>
      <c r="B334" s="102">
        <v>1</v>
      </c>
      <c r="C334" s="105">
        <f>IF(B334&lt;&gt;1,"",SUM(B$334:B334))</f>
        <v>1</v>
      </c>
      <c r="D334" s="102">
        <v>1</v>
      </c>
      <c r="F334" s="165" t="str">
        <f>IF(COUNTA($A$334:$A334)&lt;=MAX(DS_Occ_Sequence)=TRUE,LOOKUP(COUNTA($A$334:$A334),DS_Occ_Sequence,DS_Occ_DataNames),"")</f>
        <v>Existing Units are currently occupied</v>
      </c>
    </row>
    <row r="335" spans="1:6">
      <c r="A335" s="104" t="s">
        <v>121</v>
      </c>
      <c r="B335" s="102">
        <v>1</v>
      </c>
      <c r="C335" s="105">
        <f>IF(B335&lt;&gt;1,"",SUM(B$334:B335))</f>
        <v>2</v>
      </c>
      <c r="D335" s="102">
        <v>2</v>
      </c>
      <c r="F335" s="165" t="str">
        <f>IF(COUNTA($A$334:$A335)&lt;=MAX(DS_Occ_Sequence)=TRUE,LOOKUP(COUNTA($A$334:$A335),DS_Occ_Sequence,DS_Occ_DataNames),"")</f>
        <v>Existing Units are not currently occupied</v>
      </c>
    </row>
    <row r="336" spans="1:6">
      <c r="A336" s="104" t="s">
        <v>122</v>
      </c>
      <c r="B336" s="102">
        <v>1</v>
      </c>
      <c r="C336" s="105">
        <f>IF(B336&lt;&gt;1,"",SUM(B$334:B336))</f>
        <v>3</v>
      </c>
      <c r="D336" s="102">
        <v>3</v>
      </c>
      <c r="F336" s="165" t="str">
        <f>IF(COUNTA($A$334:$A336)&lt;=MAX(DS_Occ_Sequence)=TRUE,LOOKUP(COUNTA($A$334:$A336),DS_Occ_Sequence,DS_Occ_DataNames),"")</f>
        <v>There are no existing units</v>
      </c>
    </row>
    <row r="338" spans="1:15" ht="18" customHeight="1">
      <c r="A338" s="1257" t="s">
        <v>497</v>
      </c>
      <c r="B338" s="1258" t="s">
        <v>4</v>
      </c>
      <c r="C338" s="1258" t="s">
        <v>5</v>
      </c>
      <c r="D338" s="1258" t="s">
        <v>6</v>
      </c>
      <c r="E338" s="1074" t="s">
        <v>1236</v>
      </c>
      <c r="F338" s="111" t="s">
        <v>2</v>
      </c>
    </row>
    <row r="339" spans="1:15">
      <c r="A339" s="104" t="s">
        <v>123</v>
      </c>
      <c r="B339" s="102">
        <v>1</v>
      </c>
      <c r="C339" s="105">
        <f>IF(B339&lt;&gt;1,"",SUM(B$339:B339))</f>
        <v>1</v>
      </c>
      <c r="D339" s="102">
        <v>1</v>
      </c>
      <c r="F339" s="165" t="str">
        <f>IF(COUNTA($A$339:$A339)&lt;=MAX(DS_MinIRS_Sequence)=TRUE,LOOKUP(COUNTA($A$339:$A339),DS_MinIRS_Sequence,DS_MinIRS_DataNames),"")</f>
        <v>20% of units at 50% of Area Median Income (AMI) or lower</v>
      </c>
      <c r="I339" s="810"/>
      <c r="J339" s="810"/>
      <c r="K339" s="810"/>
      <c r="L339" s="810"/>
      <c r="M339" s="810"/>
      <c r="N339" s="810"/>
      <c r="O339" s="810"/>
    </row>
    <row r="340" spans="1:15">
      <c r="A340" s="104" t="s">
        <v>1338</v>
      </c>
      <c r="B340" s="102">
        <v>1</v>
      </c>
      <c r="C340" s="105">
        <f>IF(B340&lt;&gt;1,"",SUM(B$339:B340))</f>
        <v>2</v>
      </c>
      <c r="D340" s="102">
        <v>2</v>
      </c>
      <c r="F340" s="165" t="str">
        <f>IF(COUNTA($A$339:$A340)&lt;=MAX(DS_MinIRS_Sequence)=TRUE,LOOKUP(COUNTA($A$339:$A340),DS_MinIRS_Sequence,DS_MinIRS_DataNames),"")</f>
        <v>40% of units at 60% of Area Median Income (AMI) or lower</v>
      </c>
      <c r="I340" s="810"/>
      <c r="J340" s="810"/>
      <c r="K340" s="810"/>
      <c r="L340" s="810"/>
      <c r="M340" s="810"/>
      <c r="N340" s="810"/>
      <c r="O340" s="810"/>
    </row>
    <row r="341" spans="1:15">
      <c r="A341" s="104" t="s">
        <v>124</v>
      </c>
      <c r="B341" s="102">
        <v>1</v>
      </c>
      <c r="C341" s="105">
        <f>IF(B341&lt;&gt;1,"",SUM(B$339:B341))</f>
        <v>3</v>
      </c>
      <c r="D341" s="102">
        <v>3</v>
      </c>
      <c r="F341" s="165" t="str">
        <f>IF(COUNTA($A$339:$A341)&lt;=MAX(DS_MinIRS_Sequence)=TRUE,LOOKUP(COUNTA($A$339:$A341),DS_MinIRS_Sequence,DS_MinIRS_DataNames),"")</f>
        <v>Average Income Test</v>
      </c>
      <c r="I341" s="810"/>
      <c r="J341" s="810"/>
      <c r="K341" s="810"/>
      <c r="L341" s="810"/>
      <c r="M341" s="810"/>
      <c r="N341" s="810"/>
      <c r="O341" s="810"/>
    </row>
    <row r="342" spans="1:15">
      <c r="A342" s="684" t="str">
        <f>DS_Loan_Name&amp;" Funding Set-Aside Commitment"</f>
        <v>HOME-ARP Funding Set-Aside Commitment</v>
      </c>
      <c r="B342" s="102">
        <v>1</v>
      </c>
      <c r="C342" s="105">
        <f>IF(B342&lt;&gt;1,"",SUM(B$339:B342))</f>
        <v>4</v>
      </c>
      <c r="D342" s="102">
        <v>4</v>
      </c>
      <c r="F342" s="165" t="str">
        <f>IF(COUNTA($A$339:$A342)&lt;=MAX(DS_MinIRS_Sequence)=TRUE,LOOKUP(COUNTA($A$339:$A342),DS_MinIRS_Sequence,DS_MinIRS_DataNames),"")</f>
        <v>HOME-ARP Funding Set-Aside Commitment</v>
      </c>
      <c r="I342" s="810"/>
      <c r="J342" s="810"/>
      <c r="K342" s="810"/>
      <c r="L342" s="810"/>
      <c r="M342" s="810"/>
      <c r="N342" s="810"/>
      <c r="O342" s="810"/>
    </row>
    <row r="343" spans="1:15">
      <c r="I343" s="810"/>
      <c r="J343" s="810"/>
      <c r="K343" s="810"/>
      <c r="L343" s="810"/>
      <c r="M343" s="810"/>
      <c r="N343" s="810"/>
      <c r="O343" s="810"/>
    </row>
    <row r="344" spans="1:15" ht="18" customHeight="1">
      <c r="A344" s="1257" t="s">
        <v>1313</v>
      </c>
      <c r="B344" s="108"/>
      <c r="C344" s="109"/>
      <c r="D344" s="108"/>
      <c r="E344" s="1074" t="s">
        <v>1312</v>
      </c>
      <c r="G344" s="216" t="s">
        <v>1317</v>
      </c>
      <c r="H344" s="216" t="s">
        <v>1325</v>
      </c>
      <c r="I344" s="216" t="s">
        <v>1328</v>
      </c>
      <c r="J344" s="216" t="s">
        <v>1329</v>
      </c>
      <c r="K344" s="810"/>
      <c r="L344" s="810"/>
      <c r="M344" s="810"/>
      <c r="N344" s="810"/>
      <c r="O344" s="810"/>
    </row>
    <row r="345" spans="1:15">
      <c r="A345" s="771" t="s">
        <v>1519</v>
      </c>
      <c r="B345" s="893">
        <v>0.8</v>
      </c>
      <c r="C345" s="802" t="str">
        <f>"of Total Units ["&amp;TEXT(ROUNDUP(Total_Units*B345,0),"0")&amp;" units] (maximum of "&amp;TEXT(1-B345,"0%")&amp;" Market Rate ["&amp;TEXT(Total_Units-ROUNDUP(Total_Units*B345,0),"0")&amp;" units])"</f>
        <v>of Total Units [0 units] (maximum of 20% Market Rate [0 units])</v>
      </c>
      <c r="D345" s="771"/>
      <c r="E345" s="771"/>
      <c r="F345" s="771"/>
      <c r="G345" s="791">
        <f>IF(Minimum_SetAside_per_Sec_42=Data1!A$339,SUM('Units, Set-Asides, Bldgs'!G$21:G$28)+IF('Units, Set-Asides, Bldgs'!R$32=0,Workforce_AMI_non_avg_inc,0),IF(Minimum_SetAside_per_Sec_42=Data1!A$340,SUM('Units, Set-Asides, Bldgs'!G$21:G$29)+IF('Units, Set-Asides, Bldgs'!R$32=0,Workforce_AMI_non_avg_inc,0),IF(Minimum_SetAside_per_Sec_42=Data1!A$341,SUM('Units, Set-Asides, Bldgs'!G$38:G$44)+IF('Units, Set-Asides, Bldgs'!R$32=0,'Units, Set-Asides, Bldgs'!G45,0),IF(Minimum_SetAside_per_Sec_42=Data1!A$342,SUM('Units, Set-Asides, Bldgs'!G$21:G$28)+IF('Units, Set-Asides, Bldgs'!R32=0,Workforce_AMI_non_avg_inc,0),0))))</f>
        <v>0</v>
      </c>
      <c r="H345" s="803" t="str">
        <f>IF(Minimum_SetAside_per_Sec_42=Data1!A$341,IF(Data1!J345&gt;=Data1!I345,"Yes","No"),IF(G345&gt;=B345,"Yes","No"))</f>
        <v>No</v>
      </c>
      <c r="I345" s="803">
        <f>ROUNDUP(B345*Total_Units,0)</f>
        <v>0</v>
      </c>
      <c r="J345" s="995">
        <f>SUM('Units, Set-Asides, Bldgs'!F38:F44)+IF('Units, Set-Asides, Bldgs'!R32=0,Market_Avg_Income_Units,0)</f>
        <v>0</v>
      </c>
      <c r="M345" s="810"/>
      <c r="N345" s="810"/>
      <c r="O345" s="810"/>
    </row>
    <row r="346" spans="1:15">
      <c r="M346" s="810"/>
      <c r="N346" s="810"/>
      <c r="O346" s="810"/>
    </row>
    <row r="347" spans="1:15" ht="14.4" customHeight="1">
      <c r="A347" s="1094" t="s">
        <v>1568</v>
      </c>
      <c r="E347" s="644"/>
      <c r="G347" s="216"/>
      <c r="H347" s="216"/>
      <c r="I347" s="216"/>
      <c r="J347" s="216"/>
      <c r="K347" s="810"/>
      <c r="L347" s="810"/>
      <c r="M347" s="810"/>
      <c r="N347" s="810"/>
      <c r="O347" s="810"/>
    </row>
    <row r="348" spans="1:15" ht="14.4" customHeight="1">
      <c r="A348" s="757" t="s">
        <v>1514</v>
      </c>
      <c r="B348" s="770">
        <f>IF(Minimum_SetAside_per_Sec_42=Data1!A$339,20%,40%)</f>
        <v>0.4</v>
      </c>
      <c r="C348" s="757" t="str">
        <f>"of Total Units ["&amp;TEXT(ROUNDUP(Total_Units*B348,0),"0")&amp;" units] (maximum of "&amp;TEXT(1-B348,"0%")&amp;" Market Rate ["&amp;TEXT(Total_Units-ROUNDUP(Total_Units*B348,0),"0")&amp;" units])"</f>
        <v>of Total Units [0 units] (maximum of 60% Market Rate [0 units])</v>
      </c>
      <c r="D348" s="771"/>
      <c r="E348" s="771"/>
      <c r="F348" s="771"/>
      <c r="G348" s="791">
        <f>IF(Minimum_SetAside_per_Sec_42=Data1!A$339,SUM('Units, Set-Asides, Bldgs'!G$21:G$28),IF(Minimum_SetAside_per_Sec_42=Data1!A$340,SUM('Units, Set-Asides, Bldgs'!G$21:G$29),IF(Minimum_SetAside_per_Sec_42=Data1!A$341,SUM('Units, Set-Asides, Bldgs'!G$38:G$44),0)))</f>
        <v>0</v>
      </c>
      <c r="H348" s="803" t="str">
        <f>IF(Minimum_SetAside_per_Sec_42=Data1!A$341,IF(Data1!J348&gt;=Data1!I348,"Yes","No"),IF(OR(Minimum_SetAside_per_Sec_42=Data1!A339,Minimum_SetAside_per_Sec_42=Data1!A340),IF(G348&gt;=B348,"Yes","No"),"NA"))</f>
        <v>NA</v>
      </c>
      <c r="I348" s="803">
        <f>ROUNDUP(B348*Total_Units,0)</f>
        <v>0</v>
      </c>
      <c r="J348" s="803">
        <f>IF(Minimum_SetAside_per_Sec_42=Data1!A$341,SUM('Units, Set-Asides, Bldgs'!F$38:F$44),0)</f>
        <v>0</v>
      </c>
      <c r="K348" s="810"/>
      <c r="L348" s="810"/>
      <c r="M348" s="810"/>
      <c r="N348" s="810"/>
      <c r="O348" s="810"/>
    </row>
    <row r="349" spans="1:15">
      <c r="A349" s="771" t="s">
        <v>1512</v>
      </c>
      <c r="B349" s="770">
        <f>IF(Minimum_SetAside_per_Sec_42=Data1!A$339,25%,45%)</f>
        <v>0.45</v>
      </c>
      <c r="C349" s="1036" t="s">
        <v>1516</v>
      </c>
      <c r="D349" s="989"/>
      <c r="E349" s="471"/>
      <c r="F349" s="990"/>
      <c r="G349" s="791">
        <f>IF(Minimum_SetAside_per_Sec_42=Data1!A$339,SUM('Units, Set-Asides, Bldgs'!G$21:G$28),IF(Minimum_SetAside_per_Sec_42=Data1!A$340,SUM('Units, Set-Asides, Bldgs'!G$21:G$29),IF(Minimum_SetAside_per_Sec_42=Data1!A$341,SUM('Units, Set-Asides, Bldgs'!G$38:G$42),0)))</f>
        <v>0</v>
      </c>
      <c r="H349" s="991" t="str">
        <f>IF(OR(Minimum_SetAside_per_Sec_42=Data1!A339,Minimum_SetAside_per_Sec_42=Data1!A340),IF(G349&gt;=B349,"Yes","No"),IF(Minimum_SetAside_per_Sec_42=Data1!A341,IF(J349&gt;=I349,"Yes","No"),"NA"))</f>
        <v>NA</v>
      </c>
      <c r="I349" s="991">
        <f>ROUNDUP(Data1!B349*Total_Units,0)</f>
        <v>0</v>
      </c>
      <c r="J349" s="991">
        <f>IF(Minimum_SetAside_per_Sec_42=Data1!A$341,SUM('Units, Set-Asides, Bldgs'!F$38:F$42),0)</f>
        <v>0</v>
      </c>
      <c r="K349" s="810"/>
      <c r="L349" s="810"/>
      <c r="M349" s="810"/>
      <c r="N349" s="810"/>
      <c r="O349" s="810"/>
    </row>
    <row r="350" spans="1:15">
      <c r="A350" s="759" t="s">
        <v>1513</v>
      </c>
      <c r="B350" s="773">
        <f>IF(Minimum_SetAside_per_Sec_42=Data1!A$339,30%,50%)</f>
        <v>0.5</v>
      </c>
      <c r="C350" s="1036" t="s">
        <v>1517</v>
      </c>
      <c r="D350" s="809"/>
      <c r="E350" s="759"/>
      <c r="F350" s="772"/>
      <c r="G350" s="759"/>
      <c r="H350" s="808" t="str">
        <f>IF(OR(Minimum_SetAside_per_Sec_42=Data1!A339,Minimum_SetAside_per_Sec_42=Data1!A340),IF(G349&lt;=B350,"Yes","No"),IF(Minimum_SetAside_per_Sec_42=Data1!A341,IF(J349&lt;=I350,"Yes","No"),"NA"))</f>
        <v>NA</v>
      </c>
      <c r="I350" s="808">
        <f>ROUNDUP(Data1!B350*Total_Units,0)</f>
        <v>0</v>
      </c>
      <c r="J350" s="808"/>
      <c r="K350" s="810"/>
      <c r="L350" s="810"/>
      <c r="M350" s="810"/>
      <c r="N350" s="810"/>
      <c r="O350" s="810"/>
    </row>
    <row r="351" spans="1:15">
      <c r="A351" s="772" t="s">
        <v>1511</v>
      </c>
      <c r="B351" s="769">
        <v>0.5</v>
      </c>
      <c r="C351" s="759" t="s">
        <v>1520</v>
      </c>
      <c r="D351" s="772"/>
      <c r="E351" s="772"/>
      <c r="F351" s="772"/>
      <c r="G351" s="1099" t="str">
        <f>IF(Demographic&lt;&gt;"Elderly ALF","NA",IF(OR(Minimum_SetAside_per_Sec_42=Data1!A339,Minimum_SetAside_per_Sec_42=Data1!A340),NonAIT_HC_SA_Percent,IF(Minimum_SetAside_per_Sec_42="Average Income Test",AIT_HC_SA_Percent,0)))</f>
        <v>NA</v>
      </c>
      <c r="H351" s="805" t="str">
        <f>IF(OR(Demographic&lt;&gt;"Elderly ALF",AND(Minimum_SetAside_per_Sec_42&lt;&gt;Data1!A339,Minimum_SetAside_per_Sec_42&lt;&gt;Data1!A340,Minimum_SetAside_per_Sec_42&lt;&gt;"Average Income Test")),"NA",IF(OR(AND(OR(Minimum_SetAside_per_Sec_42=Data1!A339,Minimum_SetAside_per_Sec_42=Data1!A340),NonAIT_HC_SA_Percent&gt;=Data1!B351),AND(Minimum_SetAside_per_Sec_42="Average Income Test",AIT_HC_SA_Percent&gt;=Data1!B351)),"Yes","No"))</f>
        <v>NA</v>
      </c>
      <c r="I351" s="805"/>
      <c r="J351" s="994"/>
      <c r="K351" s="810"/>
      <c r="L351" s="810"/>
      <c r="M351" s="810"/>
      <c r="N351" s="810"/>
      <c r="O351" s="810"/>
    </row>
    <row r="352" spans="1:15">
      <c r="A352" s="940" t="s">
        <v>1515</v>
      </c>
      <c r="B352" s="767">
        <v>0.8</v>
      </c>
      <c r="C352" s="941"/>
      <c r="D352" s="940"/>
      <c r="E352" s="940"/>
      <c r="F352" s="940"/>
      <c r="G352" s="992" t="str">
        <f>IF(OR(NonProfit_Applicant&lt;&gt;"Yes",AND(Minimum_SetAside_per_Sec_42&lt;&gt;Data1!A339,Minimum_SetAside_per_Sec_42&lt;&gt;Data1!A340,Minimum_SetAside_per_Sec_42&lt;&gt;"Average Income Test")),"NA",IF(OR(Minimum_SetAside_per_Sec_42=Data1!A339,Minimum_SetAside_per_Sec_42=Data1!A340),NonAIT_HC_SA_Percent,IF(Minimum_SetAside_per_Sec_42="Average Income Test",AIT_HC_SA_Percent,0)))</f>
        <v>NA</v>
      </c>
      <c r="H352" s="1097" t="str">
        <f>IF(OR(NonProfit_Applicant&lt;&gt;"Yes",AND(Minimum_SetAside_per_Sec_42&lt;&gt;Data1!A339,Minimum_SetAside_per_Sec_42&lt;&gt;Data1!A340,Minimum_SetAside_per_Sec_42&lt;&gt;"Average Income Test")),"NA",IF(OR(AND(OR(Minimum_SetAside_per_Sec_42=Data1!A339,Minimum_SetAside_per_Sec_42=Data1!A340),NonAIT_HC_SA_Percent&gt;=Data1!B352),AND(Minimum_SetAside_per_Sec_42="Average Income Test",AIT_HC_SA_Percent&gt;=Data1!B352)),"Yes","No"))</f>
        <v>NA</v>
      </c>
      <c r="I352" s="842"/>
      <c r="J352" s="993"/>
      <c r="K352" s="810"/>
      <c r="L352" s="810"/>
      <c r="M352" s="471"/>
      <c r="N352" s="810"/>
      <c r="O352" s="810"/>
    </row>
    <row r="353" spans="1:15">
      <c r="A353" s="1112" t="s">
        <v>1318</v>
      </c>
      <c r="B353" s="759"/>
      <c r="C353" s="768"/>
      <c r="D353" s="759"/>
      <c r="E353" s="759"/>
      <c r="F353" s="759"/>
      <c r="G353" s="759"/>
      <c r="H353" s="808" t="str">
        <f>IF(J353&lt;=60%,"Yes","No")</f>
        <v>Yes</v>
      </c>
      <c r="I353" s="1113">
        <v>0.6</v>
      </c>
      <c r="J353" s="1099">
        <f>IF(Minimum_SetAside_per_Sec_42=Data1!A341,avg_AMI_HC_Units_in_avg_inc_chart,0)</f>
        <v>0</v>
      </c>
      <c r="K353" s="810"/>
      <c r="L353" s="810"/>
      <c r="M353" s="810"/>
      <c r="N353" s="810"/>
      <c r="O353" s="810"/>
    </row>
    <row r="354" spans="1:15">
      <c r="A354" s="1108"/>
      <c r="B354" s="221"/>
      <c r="C354" s="109"/>
      <c r="D354" s="221"/>
      <c r="E354" s="221"/>
      <c r="F354" s="221"/>
      <c r="G354" s="221"/>
      <c r="H354" s="1109"/>
      <c r="I354" s="1110"/>
      <c r="J354" s="1111"/>
      <c r="K354" s="810"/>
      <c r="L354" s="810"/>
      <c r="M354" s="810"/>
      <c r="N354" s="810"/>
      <c r="O354" s="810"/>
    </row>
    <row r="355" spans="1:15">
      <c r="A355" s="1095" t="s">
        <v>1569</v>
      </c>
      <c r="B355" s="221"/>
      <c r="C355" s="221"/>
      <c r="D355" s="221"/>
      <c r="L355" s="810"/>
      <c r="M355" s="810"/>
      <c r="N355" s="810"/>
      <c r="O355" s="810"/>
    </row>
    <row r="356" spans="1:15">
      <c r="A356" s="771" t="s">
        <v>1504</v>
      </c>
      <c r="B356" s="1770" t="s">
        <v>1579</v>
      </c>
      <c r="C356" s="1770"/>
      <c r="D356" s="1770"/>
      <c r="E356" s="771"/>
      <c r="F356" s="771"/>
      <c r="G356" s="791"/>
      <c r="H356" s="803"/>
      <c r="I356" s="803"/>
      <c r="J356" s="995"/>
      <c r="K356" s="810"/>
      <c r="L356" s="810"/>
      <c r="M356" s="810"/>
      <c r="N356" s="810"/>
      <c r="O356" s="810"/>
    </row>
    <row r="357" spans="1:15">
      <c r="A357" s="774" t="s">
        <v>1326</v>
      </c>
      <c r="B357" s="775">
        <v>1</v>
      </c>
      <c r="C357" s="793" t="str">
        <f>"of Total Units ["&amp;TEXT(ROUNDUP(Total_Units*B357,0),"0")&amp;" units] (maximum of "&amp;TEXT(1-B357,"0%")&amp;" Market Rate ["&amp;TEXT(Total_Units-ROUNDUP(Total_Units*B357,0),"0")&amp;" units])"</f>
        <v>of Total Units [0 units] (maximum of 0% Market Rate [0 units])</v>
      </c>
      <c r="D357" s="774"/>
      <c r="E357" s="774"/>
      <c r="F357" s="774"/>
      <c r="G357" s="791">
        <f>IF(Minimum_SetAside_per_Sec_42=Data1!A$342,SUM('Units, Set-Asides, Bldgs'!G$21:G$29)+IF('Units, Set-Asides, Bldgs'!R32=0,Workforce_AMI_non_avg_inc,0),0)</f>
        <v>0</v>
      </c>
      <c r="H357" s="804" t="str">
        <f>IF(G357&gt;=B357,"Yes","No")</f>
        <v>No</v>
      </c>
      <c r="I357" s="817"/>
      <c r="J357" s="816"/>
      <c r="K357" s="810"/>
      <c r="L357" s="810"/>
      <c r="M357" s="810"/>
      <c r="N357" s="810"/>
      <c r="O357" s="810"/>
    </row>
    <row r="358" spans="1:15">
      <c r="A358" s="772" t="s">
        <v>1327</v>
      </c>
      <c r="B358" s="800">
        <f>IF('Units, Set-Asides, Bldgs'!R32=0,80%,60%)</f>
        <v>0.6</v>
      </c>
      <c r="C358" s="794" t="s">
        <v>1314</v>
      </c>
      <c r="D358" s="772"/>
      <c r="E358" s="772"/>
      <c r="F358" s="772"/>
      <c r="G358" s="759"/>
      <c r="H358" s="805"/>
      <c r="I358" s="805"/>
      <c r="J358" s="805"/>
      <c r="K358" s="810"/>
      <c r="L358" s="810"/>
      <c r="M358" s="810"/>
      <c r="N358" s="810"/>
      <c r="O358" s="810"/>
    </row>
    <row r="359" spans="1:15">
      <c r="A359" s="766"/>
      <c r="B359" s="1096"/>
      <c r="C359" s="802"/>
      <c r="D359" s="766"/>
      <c r="E359" s="766"/>
      <c r="F359" s="766"/>
      <c r="G359" s="221"/>
      <c r="H359" s="806"/>
      <c r="I359" s="806"/>
      <c r="J359" s="806"/>
      <c r="K359" s="810"/>
      <c r="L359" s="810"/>
      <c r="M359" s="810"/>
      <c r="N359" s="810"/>
      <c r="O359" s="810"/>
    </row>
    <row r="360" spans="1:15">
      <c r="A360" s="1095" t="s">
        <v>1736</v>
      </c>
      <c r="B360" s="1096"/>
      <c r="C360" s="802"/>
      <c r="D360" s="766"/>
      <c r="E360" s="766"/>
      <c r="F360" s="766"/>
      <c r="G360" s="221"/>
      <c r="H360" s="806"/>
      <c r="I360" s="806"/>
      <c r="J360" s="806"/>
      <c r="K360" s="810"/>
      <c r="L360" s="810"/>
      <c r="M360" s="810"/>
      <c r="N360" s="810"/>
      <c r="O360" s="810"/>
    </row>
    <row r="361" spans="1:15">
      <c r="A361" s="937" t="s">
        <v>1459</v>
      </c>
      <c r="B361" s="1770" t="s">
        <v>437</v>
      </c>
      <c r="C361" s="1770"/>
      <c r="D361" s="1770"/>
      <c r="E361" s="771"/>
      <c r="F361" s="471"/>
      <c r="G361" s="471"/>
      <c r="H361" s="803"/>
      <c r="I361" s="803"/>
      <c r="J361" s="803"/>
      <c r="K361" s="810"/>
      <c r="L361" s="810"/>
      <c r="M361" s="810"/>
      <c r="N361" s="810"/>
      <c r="O361" s="810"/>
    </row>
    <row r="362" spans="1:15">
      <c r="A362" s="938" t="s">
        <v>1458</v>
      </c>
      <c r="B362" s="936">
        <v>0.6</v>
      </c>
      <c r="C362" s="939"/>
      <c r="D362" s="940"/>
      <c r="E362" s="940"/>
      <c r="F362" s="940"/>
      <c r="G362" s="941"/>
      <c r="H362" s="842"/>
      <c r="I362" s="842"/>
      <c r="J362" s="842"/>
      <c r="K362" s="810"/>
      <c r="L362" s="810"/>
      <c r="M362" s="810"/>
      <c r="N362" s="810"/>
      <c r="O362" s="810"/>
    </row>
    <row r="363" spans="1:15">
      <c r="A363" s="766" t="s">
        <v>1456</v>
      </c>
      <c r="B363" s="943">
        <v>0.85</v>
      </c>
      <c r="C363" s="623"/>
      <c r="D363" s="1114" t="s">
        <v>1490</v>
      </c>
      <c r="E363" s="766"/>
      <c r="F363" s="766"/>
      <c r="G363" s="1115">
        <f>SUM('Units, Set-Asides, Bldgs'!G73:G81)</f>
        <v>0</v>
      </c>
      <c r="H363" s="806" t="str">
        <f>IF(G363&gt;=B363,"Yes","No")</f>
        <v>No</v>
      </c>
      <c r="I363" s="811"/>
      <c r="J363" s="811"/>
      <c r="K363" s="810"/>
      <c r="L363" s="810"/>
      <c r="M363" s="810"/>
      <c r="N363" s="810"/>
      <c r="O363" s="810"/>
    </row>
    <row r="364" spans="1:15">
      <c r="A364" s="772" t="s">
        <v>1457</v>
      </c>
      <c r="B364" s="769">
        <v>1</v>
      </c>
      <c r="C364" s="794"/>
      <c r="D364" s="772"/>
      <c r="E364" s="772"/>
      <c r="F364" s="772"/>
      <c r="G364" s="759"/>
      <c r="H364" s="805" t="str">
        <f>IF(G363&lt;=B364,"Yes","No")</f>
        <v>Yes</v>
      </c>
      <c r="I364" s="1116"/>
      <c r="J364" s="1116"/>
      <c r="K364" s="810"/>
      <c r="L364" s="810"/>
      <c r="M364" s="810"/>
      <c r="N364" s="810"/>
      <c r="O364" s="810"/>
    </row>
    <row r="365" spans="1:15">
      <c r="A365" s="944" t="s">
        <v>1739</v>
      </c>
      <c r="B365" s="893">
        <v>0.05</v>
      </c>
      <c r="C365" s="953" t="str">
        <f>"of Total Units ["&amp;TEXT(ROUNDUP(Total_Units*B365,0),"0")&amp;" units]"</f>
        <v>of Total Units [0 units]</v>
      </c>
      <c r="D365" s="471"/>
      <c r="E365" s="471"/>
      <c r="F365" s="471" t="s">
        <v>1533</v>
      </c>
      <c r="G365" s="471"/>
      <c r="H365" s="803"/>
      <c r="I365" s="803"/>
      <c r="J365" s="803"/>
      <c r="K365" s="810"/>
      <c r="L365" s="810"/>
      <c r="M365" s="810"/>
      <c r="N365" s="810"/>
      <c r="O365" s="810"/>
    </row>
    <row r="366" spans="1:15">
      <c r="A366" s="948" t="s">
        <v>1738</v>
      </c>
      <c r="B366" s="767">
        <v>0.45</v>
      </c>
      <c r="C366" s="949" t="str">
        <f>"(i.e., must be below "&amp;TEXT(B366+5%,"0%")&amp;" AMI)"</f>
        <v>(i.e., must be below 50% AMI)</v>
      </c>
      <c r="D366" s="941"/>
      <c r="E366" s="941"/>
      <c r="F366" s="941"/>
      <c r="G366" s="941"/>
      <c r="H366" s="842"/>
      <c r="I366" s="842"/>
      <c r="J366" s="842"/>
      <c r="K366" s="810"/>
      <c r="L366" s="810"/>
      <c r="M366" s="810"/>
      <c r="N366" s="810"/>
      <c r="O366" s="810"/>
    </row>
    <row r="367" spans="1:15">
      <c r="A367" s="1104" t="s">
        <v>1740</v>
      </c>
      <c r="B367" s="950">
        <v>0.05</v>
      </c>
      <c r="C367" s="1105" t="str">
        <f>"of Total Units ["&amp;TEXT(ROUNDUP(Total_Units*B367,0),"0")&amp;" units]"</f>
        <v>of Total Units [0 units]</v>
      </c>
      <c r="D367" s="933"/>
      <c r="E367" s="933"/>
      <c r="F367" s="933" t="s">
        <v>1534</v>
      </c>
      <c r="G367" s="933"/>
      <c r="H367" s="1106"/>
      <c r="I367" s="1106"/>
      <c r="J367" s="1106"/>
      <c r="K367" s="810"/>
      <c r="L367" s="810"/>
      <c r="M367" s="810"/>
      <c r="N367" s="810"/>
      <c r="O367" s="810"/>
    </row>
    <row r="368" spans="1:15">
      <c r="A368" s="1047" t="s">
        <v>1737</v>
      </c>
      <c r="B368" s="769">
        <v>0.45</v>
      </c>
      <c r="C368" s="1107" t="str">
        <f>"(i.e., must be below "&amp;TEXT(B368+5%,"0%")&amp;" AMI)"</f>
        <v>(i.e., must be below 50% AMI)</v>
      </c>
      <c r="D368" s="759"/>
      <c r="E368" s="759"/>
      <c r="F368" s="941"/>
      <c r="G368" s="759"/>
      <c r="H368" s="805"/>
      <c r="I368" s="805"/>
      <c r="J368" s="805"/>
      <c r="K368" s="810"/>
      <c r="L368" s="810"/>
      <c r="M368" s="810"/>
      <c r="N368" s="810"/>
      <c r="O368" s="810"/>
    </row>
    <row r="369" spans="1:15">
      <c r="I369" s="1249" t="s">
        <v>1735</v>
      </c>
      <c r="J369" s="1249" t="s">
        <v>1733</v>
      </c>
    </row>
    <row r="370" spans="1:15">
      <c r="A370" s="1251" t="str">
        <f>IF(Minimum_SetAside_per_Sec_42="Average Income Test","","Non-")&amp;"AIT "&amp;IF(Self_Sourced_Applicant="Yes","","Non-")&amp;"Self-Sourced ELI Min required in App (Base only)"</f>
        <v>Non-AIT Non-Self-Sourced ELI Min required in App (Base only)</v>
      </c>
      <c r="B370" s="1252">
        <f>IF(OR(Minimum_SetAside_per_Sec_42=Data1!A$339,Minimum_SetAside_per_Sec_42=Data1!A$340,Minimum_SetAside_per_Sec_42=Data1!A$342),IF(Self_Sourced_Applicant="Yes",DS_Min_ELI_NonAIT_SS,DS_Min_ELI_NonAIT_NSS),IF(Self_Sourced_Applicant="Yes",DS_Min_ELI_AIT_SS,DS_Min_ELI_AIT_NSS))</f>
        <v>0</v>
      </c>
      <c r="C370" s="832"/>
      <c r="D370" s="1253"/>
      <c r="E370" s="1061"/>
      <c r="F370" s="1253" t="str">
        <f>IF(Minimum_SetAside_per_Sec_42=Data1!A341,"AIT ELI Units converted to % of Total:","")</f>
        <v/>
      </c>
      <c r="G370" s="1254">
        <f>MAX(IF(OR(Minimum_SetAside_per_Sec_42=Data1!A$339,Minimum_SetAside_per_Sec_42=Data1!A$340,Minimum_SetAside_per_Sec_42=Data1!A$342),SUMIF('Units, Set-Asides, Bldgs'!I$21:I$29,"&lt;="&amp;VLOOKUP(County,DS_CountyData,14),'Units, Set-Asides, Bldgs'!G$21:G$29),IF(Minimum_SetAside_per_Sec_42="Average Income Test",SUM('Units, Set-Asides, Bldgs'!G$38:G$39),0)),IF('Units, Set-Asides, Bldgs'!R$70=1,SUMIF('Units, Set-Asides, Bldgs'!I$73:I$81,"&lt;="&amp;VLOOKUP(County,DS_CountyData,14),'Units, Set-Asides, Bldgs'!G$73:G$81),0))</f>
        <v>0</v>
      </c>
      <c r="H370" s="1255" t="str">
        <f>IF(OR(Minimum_SetAside_per_Sec_42=Data1!A$339,Minimum_SetAside_per_Sec_42=Data1!A$340,Minimum_SetAside_per_Sec_42=Data1!A$342),IF(G370&gt;=B370,"Yes","No"),IF(J370&gt;=I370,"Yes","No"))</f>
        <v>Yes</v>
      </c>
      <c r="I370" s="1255">
        <f>ROUNDUP(B370*Total_Units,0)</f>
        <v>0</v>
      </c>
      <c r="J370" s="1255">
        <f>twenty_AMI_Avg_Income_Units+thirty_AMI_Avg_Income_Units</f>
        <v>0</v>
      </c>
      <c r="K370" s="810"/>
      <c r="L370" s="810"/>
      <c r="M370" s="810"/>
      <c r="N370" s="810"/>
      <c r="O370" s="810"/>
    </row>
    <row r="371" spans="1:15">
      <c r="A371" s="771" t="str">
        <f>IF(Minimum_SetAside_per_Sec_42="Average Income Test","","Non-")&amp;"AIT "&amp;IF(Self_Sourced_Applicant="Yes","","Non-")&amp;"Self-Sourced ELI Max considered in App (Base+Purchased)"</f>
        <v>Non-AIT Non-Self-Sourced ELI Max considered in App (Base+Purchased)</v>
      </c>
      <c r="B371" s="770">
        <f>IF(OR(Minimum_SetAside_per_Sec_42=Data1!A$339,Minimum_SetAside_per_Sec_42=Data1!A$340,Minimum_SetAside_per_Sec_42=Data1!A$342),IF(Self_Sourced_Applicant="Yes",DS_Min_ELI_NonAIT_SS+DS_Min_ELI_NonAIT_Buy_SS,DS_Min_ELI_NonAIT_NSS+DS_Min_ELI_NonAIT_Buy_NSS),IF(Self_Sourced_Applicant="Yes",DS_Min_ELI_AIT_SS+DS_Min_ELI_AIT_Buy_SS,DS_Min_ELI_AIT_NSS+DS_Min_ELI_AIT_Buy_NSS))</f>
        <v>0</v>
      </c>
      <c r="C371" s="621"/>
      <c r="D371" s="989"/>
      <c r="E371" s="471"/>
      <c r="F371" s="989"/>
      <c r="G371" s="791">
        <f>MAX(IF(OR(Minimum_SetAside_per_Sec_42=Data1!A$339,Minimum_SetAside_per_Sec_42=Data1!A$340,Minimum_SetAside_per_Sec_42=Data1!A$342),SUMIF('Units, Set-Asides, Bldgs'!I$21:I$29,"&lt;="&amp;VLOOKUP(County,DS_CountyData,14),'Units, Set-Asides, Bldgs'!G$21:G$29),IF(Minimum_SetAside_per_Sec_42="Average Income Test",SUM('Units, Set-Asides, Bldgs'!G$38:G$39),0)),IF('Units, Set-Asides, Bldgs'!R$70=1,SUMIF('Units, Set-Asides, Bldgs'!I$73:I$81,"&lt;="&amp;VLOOKUP(County,DS_CountyData,14),'Units, Set-Asides, Bldgs'!G$73:G$81),0))</f>
        <v>0</v>
      </c>
      <c r="H371" s="1250" t="str">
        <f>IF(OR(Minimum_SetAside_per_Sec_42=Data1!A$339,Minimum_SetAside_per_Sec_42=Data1!A$340,Minimum_SetAside_per_Sec_42=Data1!A$342),IF(G371&gt;=B371,"Yes","No"),IF(J371&gt;=I371,"Yes","No"))</f>
        <v>Yes</v>
      </c>
      <c r="I371" s="1250">
        <f>ROUNDUP(B371*Total_Units,0)</f>
        <v>0</v>
      </c>
      <c r="J371" s="1250">
        <f>twenty_AMI_Avg_Income_Units+thirty_AMI_Avg_Income_Units</f>
        <v>0</v>
      </c>
      <c r="K371" s="810"/>
      <c r="L371" s="810"/>
      <c r="M371" s="810"/>
      <c r="N371" s="810"/>
      <c r="O371" s="810"/>
    </row>
    <row r="372" spans="1:15">
      <c r="A372" s="766" t="s">
        <v>1734</v>
      </c>
      <c r="B372" s="1338" t="s">
        <v>196</v>
      </c>
      <c r="C372" s="137"/>
      <c r="D372" s="1247"/>
      <c r="E372" s="137"/>
      <c r="F372" s="1247" t="str">
        <f>"Minimum ELI = Base "&amp;IF(B372="Yes","+ Purchased","Only")&amp;":"</f>
        <v>Minimum ELI = Base + Purchased:</v>
      </c>
      <c r="G372" s="1248">
        <f>IF(B372="Yes",B371,B370)</f>
        <v>0</v>
      </c>
      <c r="H372" s="1109"/>
      <c r="I372" s="1109"/>
      <c r="J372" s="1109"/>
      <c r="K372" s="810"/>
      <c r="L372" s="810"/>
      <c r="M372" s="810"/>
      <c r="N372" s="810"/>
      <c r="O372" s="810"/>
    </row>
    <row r="373" spans="1:15">
      <c r="A373" s="774" t="s">
        <v>1320</v>
      </c>
      <c r="B373" s="797">
        <v>30</v>
      </c>
      <c r="C373" s="795" t="s">
        <v>1322</v>
      </c>
      <c r="D373" s="774"/>
      <c r="E373" s="783"/>
      <c r="F373" s="1778" t="s">
        <v>1780</v>
      </c>
      <c r="G373" s="783"/>
      <c r="H373" s="807"/>
      <c r="I373" s="807"/>
      <c r="J373" s="807"/>
      <c r="K373" s="810"/>
      <c r="L373" s="810"/>
      <c r="M373" s="810"/>
      <c r="N373" s="810"/>
      <c r="O373" s="810"/>
    </row>
    <row r="374" spans="1:15">
      <c r="A374" s="772" t="s">
        <v>1321</v>
      </c>
      <c r="B374" s="796">
        <v>0</v>
      </c>
      <c r="C374" s="768" t="s">
        <v>1322</v>
      </c>
      <c r="D374" s="772"/>
      <c r="E374" s="759"/>
      <c r="F374" s="1779"/>
      <c r="G374" s="759"/>
      <c r="H374" s="808"/>
      <c r="I374" s="808"/>
      <c r="J374" s="808"/>
      <c r="K374" s="810"/>
      <c r="L374" s="810"/>
      <c r="M374" s="810"/>
      <c r="N374" s="810"/>
      <c r="O374" s="810"/>
    </row>
    <row r="375" spans="1:15">
      <c r="A375" s="221"/>
      <c r="B375" s="221"/>
      <c r="C375" s="221"/>
      <c r="D375" s="221"/>
      <c r="E375" s="221"/>
      <c r="F375" s="221"/>
      <c r="I375" s="810"/>
      <c r="J375" s="810"/>
      <c r="K375" s="810"/>
      <c r="L375" s="810"/>
      <c r="M375" s="810"/>
      <c r="N375" s="810"/>
      <c r="O375" s="810"/>
    </row>
    <row r="376" spans="1:15" ht="18" customHeight="1">
      <c r="A376" s="1257" t="s">
        <v>1315</v>
      </c>
      <c r="B376" s="108"/>
      <c r="C376" s="109"/>
      <c r="D376" s="108"/>
      <c r="E376" s="1074" t="s">
        <v>1316</v>
      </c>
      <c r="F376" s="396" t="s">
        <v>1491</v>
      </c>
      <c r="I376" s="810"/>
      <c r="J376" s="810"/>
      <c r="K376" s="810"/>
      <c r="L376" s="810"/>
      <c r="M376" s="810"/>
      <c r="N376" s="810"/>
      <c r="O376" s="810"/>
    </row>
    <row r="377" spans="1:15">
      <c r="A377" s="757" t="s">
        <v>1448</v>
      </c>
      <c r="B377" s="758">
        <v>0</v>
      </c>
      <c r="C377" s="771" t="str">
        <f>"of Total Units ["&amp;TEXT(ROUNDUP(Total_Units*B377,0),"0")&amp;" units] at County Level AMI"</f>
        <v>of Total Units [0 units] at County Level AMI</v>
      </c>
      <c r="D377" s="471"/>
      <c r="E377" s="471"/>
      <c r="F377" s="471"/>
      <c r="G377" s="471" t="s">
        <v>1531</v>
      </c>
      <c r="H377" s="471"/>
      <c r="I377" s="810"/>
      <c r="J377" s="810"/>
      <c r="K377" s="810"/>
      <c r="L377" s="810"/>
      <c r="M377" s="810"/>
      <c r="N377" s="810"/>
      <c r="O377" s="810"/>
    </row>
    <row r="378" spans="1:15">
      <c r="A378" s="757" t="s">
        <v>1449</v>
      </c>
      <c r="B378" s="758">
        <v>0</v>
      </c>
      <c r="C378" s="757" t="str">
        <f>"(for a total minimum of "&amp;TEXT(B377+B378,"0%")&amp;" ELI, or "&amp;TEXT(ROUNDUP((B377+B378)*Total_Units,0),"0")&amp;" units)"</f>
        <v>(for a total minimum of 0% ELI, or 0 units)</v>
      </c>
      <c r="D378" s="621"/>
      <c r="E378" s="621"/>
      <c r="F378" s="471"/>
      <c r="G378" s="1061"/>
      <c r="H378" s="1061"/>
      <c r="I378" s="810"/>
      <c r="J378" s="810"/>
      <c r="K378" s="810"/>
      <c r="L378" s="810"/>
      <c r="M378" s="810"/>
      <c r="N378" s="810"/>
      <c r="O378" s="810"/>
    </row>
    <row r="379" spans="1:15">
      <c r="A379" s="1244" t="s">
        <v>1971</v>
      </c>
      <c r="B379" s="775">
        <v>0</v>
      </c>
      <c r="C379" s="947" t="str">
        <f>"of Total Units ["&amp;TEXT(ROUNDUP(Total_Units*B379,0),"0")&amp;" units]"</f>
        <v>of Total Units [0 units]</v>
      </c>
      <c r="D379" s="783"/>
      <c r="E379" s="783"/>
      <c r="F379" s="783"/>
      <c r="G379" s="471" t="s">
        <v>1536</v>
      </c>
      <c r="H379" s="471"/>
      <c r="I379" s="810"/>
      <c r="J379" s="810"/>
      <c r="K379" s="810"/>
      <c r="L379" s="810"/>
      <c r="M379" s="810"/>
      <c r="N379" s="810"/>
      <c r="O379" s="810"/>
    </row>
    <row r="380" spans="1:15">
      <c r="A380" s="1245" t="s">
        <v>1970</v>
      </c>
      <c r="B380" s="943">
        <v>0</v>
      </c>
      <c r="C380" s="1049" t="str">
        <f>"(for a total minimum of "&amp;TEXT(B379+B380,"0%")&amp;" ELI, or "&amp;TEXT(ROUNDUP((B379+B380)*Total_Units,0),"0")&amp;" units)"</f>
        <v>(for a total minimum of 0% ELI, or 0 units)</v>
      </c>
      <c r="G380" s="1053"/>
      <c r="H380" s="1053"/>
      <c r="I380" s="810"/>
      <c r="J380" s="810"/>
      <c r="K380" s="810"/>
      <c r="L380" s="810"/>
      <c r="M380" s="810"/>
      <c r="N380" s="810"/>
      <c r="O380" s="810"/>
    </row>
    <row r="381" spans="1:15">
      <c r="A381" s="1246" t="s">
        <v>1968</v>
      </c>
      <c r="B381" s="776">
        <v>0</v>
      </c>
      <c r="C381" s="951" t="str">
        <f>"of Total Units ["&amp;TEXT(ROUNDUP(Total_Units*B381,0),"0")&amp;" units] at 30% AMI"</f>
        <v>of Total Units [0 units] at 30% AMI</v>
      </c>
      <c r="D381" s="952"/>
      <c r="E381" s="952"/>
      <c r="F381" s="952"/>
      <c r="G381" s="471" t="s">
        <v>1531</v>
      </c>
      <c r="H381" s="471"/>
      <c r="I381" s="810"/>
      <c r="J381" s="810"/>
      <c r="K381" s="810"/>
      <c r="L381" s="810"/>
      <c r="M381" s="810"/>
      <c r="N381" s="810"/>
      <c r="O381" s="810"/>
    </row>
    <row r="382" spans="1:15">
      <c r="A382" s="794" t="s">
        <v>1969</v>
      </c>
      <c r="B382" s="769">
        <v>0</v>
      </c>
      <c r="C382" s="794" t="str">
        <f>"(for a total minimum of "&amp;TEXT(B381+B382,"0%")&amp;" ELI, or "&amp;TEXT(ROUNDUP((B381+B382)*Total_Units,0),"0")&amp;" units)"</f>
        <v>(for a total minimum of 0% ELI, or 0 units)</v>
      </c>
      <c r="D382" s="768"/>
      <c r="E382" s="768"/>
      <c r="F382" s="759"/>
      <c r="G382" s="1061"/>
      <c r="H382" s="1061"/>
      <c r="I382" s="810"/>
      <c r="J382" s="810"/>
      <c r="K382" s="810"/>
      <c r="L382" s="810"/>
      <c r="M382" s="810"/>
      <c r="N382" s="810"/>
      <c r="O382" s="810"/>
    </row>
    <row r="383" spans="1:15">
      <c r="A383" s="1046" t="s">
        <v>1972</v>
      </c>
      <c r="B383" s="825">
        <v>0</v>
      </c>
      <c r="C383" s="953" t="str">
        <f>"of Total Units ["&amp;TEXT(ROUNDUP(Total_Units*B383,0),"0")&amp;" units]"</f>
        <v>of Total Units [0 units]</v>
      </c>
      <c r="D383" s="471"/>
      <c r="E383" s="471"/>
      <c r="F383" s="471"/>
      <c r="G383" s="471" t="s">
        <v>1537</v>
      </c>
      <c r="H383" s="471"/>
      <c r="I383" s="810"/>
      <c r="J383" s="810"/>
      <c r="K383" s="810"/>
      <c r="L383" s="810"/>
      <c r="M383" s="810"/>
      <c r="N383" s="810"/>
      <c r="O383" s="810"/>
    </row>
    <row r="384" spans="1:15">
      <c r="A384" s="1048" t="s">
        <v>1973</v>
      </c>
      <c r="B384" s="946">
        <v>0</v>
      </c>
      <c r="C384" s="945" t="str">
        <f>"(for a total minimum of "&amp;TEXT(B368+B384,"0%")&amp;" ELI, or "&amp;TEXT(ROUNDUP((B368+B384)*Total_Units,0),"0")&amp;" units)"</f>
        <v>(for a total minimum of 45% ELI, or 0 units)</v>
      </c>
      <c r="D384" s="839"/>
      <c r="E384" s="839"/>
      <c r="F384" s="954"/>
      <c r="G384" s="1053"/>
      <c r="H384" s="1053"/>
      <c r="I384" s="810"/>
      <c r="J384" s="810"/>
      <c r="K384" s="810"/>
      <c r="L384" s="810"/>
      <c r="M384" s="810"/>
      <c r="N384" s="810"/>
      <c r="O384" s="810"/>
    </row>
    <row r="386" spans="1:15" ht="18" customHeight="1">
      <c r="A386" s="1257" t="s">
        <v>1521</v>
      </c>
      <c r="B386" s="108"/>
      <c r="C386" s="108"/>
      <c r="D386" s="1261"/>
      <c r="E386" s="108"/>
    </row>
    <row r="387" spans="1:15">
      <c r="A387" s="396" t="str">
        <f>"Section 4.A.6."&amp;'Units, Set-Asides, Bldgs'!A$10&amp;"."&amp;'Units, Set-Asides, Bldgs'!B$15&amp;"("&amp;'Units, Set-Asides, Bldgs'!C$18&amp;") Set-Aside Table"</f>
        <v>Section 4.A.6.c.(1)(a) Set-Aside Table</v>
      </c>
    </row>
    <row r="388" spans="1:15">
      <c r="A388" t="s">
        <v>1545</v>
      </c>
      <c r="B388" s="165" t="str">
        <f>IF(AND(Total_Units=0,total_units_in_setaside_chart=0),"","All of the units have "&amp;IF(Total_Units=total_units_in_setaside_chart,"","NOT ")&amp;"been entered in the "&amp;IF(Minimum_SetAside_per_Sec_42=A342,DS_Loan_Name,"IRS Minimum HC")&amp;" Set-Aside Chart.")</f>
        <v/>
      </c>
      <c r="C388" s="165"/>
      <c r="D388" s="165"/>
      <c r="E388" s="165"/>
      <c r="F388" s="165"/>
      <c r="G388" s="165"/>
      <c r="H388" s="165"/>
      <c r="I388" s="165"/>
      <c r="J388" s="165"/>
      <c r="K388" s="165"/>
      <c r="L388" s="165"/>
      <c r="M388" s="165"/>
      <c r="N388" s="165"/>
      <c r="O388" s="165"/>
    </row>
    <row r="389" spans="1:15">
      <c r="A389" s="108" t="str">
        <f>"Minimum IRS/"&amp;DS_Loan_Name&amp;" Set-Aside"</f>
        <v>Minimum IRS/HOME-ARP Set-Aside</v>
      </c>
      <c r="B389" s="112" t="str">
        <f>IF(AND(Total_Units=0,total_units_in_setaside_chart=0),"",IF(Minimum_SetAside_per_Sec_42=Data1!A$339," With a HC commitment of "&amp;TEXT(SUM('Units, Set-Asides, Bldgs'!G21:G28),"0%")&amp;", the minimum IRS Set-Aside commitment of 20% is"&amp;IF(SUM('Units, Set-Asides, Bldgs'!G21:G28)&gt;=20%,""," NOT")&amp;" met.",IF(Minimum_SetAside_per_Sec_42=Data1!A$340,"With a HC commitment of "&amp;TEXT(SUM('Units, Set-Asides, Bldgs'!G21:G29),"0%")&amp;", the minimum IRS Set-Aside commitment of 40% is"&amp;IF(SUM('Units, Set-Asides, Bldgs'!G21:G29)&gt;=40%,""," NOT")&amp;" met.",IF(Minimum_SetAside_per_Sec_42=Data1!A$342," The minimum "&amp;Data1!A$342&amp;" of "&amp;TEXT(Data1!B$357,"0%")&amp;" is"&amp;IF(SUM('Units, Set-Asides, Bldgs'!G21:G29)+IF('Units, Set-Asides, Bldgs'!R32=0,'Units, Set-Asides, Bldgs'!G31,0)&gt;=Data1!B$357,""," NOT")&amp;" met with a commitment of "&amp;TEXT(SUM('Units, Set-Asides, Bldgs'!G21:G29)+IF('Units, Set-Asides, Bldgs'!R32=0,'Units, Set-Asides, Bldgs'!G31,0),"0%")&amp;".",IF(Minimum_SetAside_per_Sec_42="Average Income Test"," This set-aside table is not applicable.","")))))</f>
        <v/>
      </c>
      <c r="C389" s="165"/>
      <c r="D389" s="165"/>
      <c r="E389" s="165"/>
      <c r="F389" s="165"/>
      <c r="G389" s="165"/>
      <c r="H389" s="165"/>
      <c r="I389" s="165"/>
      <c r="J389" s="165"/>
      <c r="K389" s="165"/>
      <c r="L389" s="165"/>
      <c r="M389" s="165"/>
      <c r="N389" s="165"/>
      <c r="O389" s="165"/>
    </row>
    <row r="390" spans="1:15">
      <c r="A390" s="108" t="s">
        <v>1522</v>
      </c>
      <c r="B390" s="112" t="str">
        <f>IF(AND(Total_Units=0,total_units_in_setaside_chart=0),"",IF(Minimum_SetAside_per_Sec_42=Data1!A$342,"",IF(NonProfit_Applicant="Yes"," The minimum IRS Safe-Harbor Set-Aside commitment for Non-Profit Applicants of "&amp;TEXT(Data1!B352,"0%")&amp;" is "&amp;IF(SUM('Units, Set-Asides, Bldgs'!G21:G28)+IF(Minimum_SetAside_per_Sec_42=Data1!A340,'Units, Set-Asides, Bldgs'!G29,0)&gt;=Data1!B352,"","NOT ")&amp;"met.","")))</f>
        <v/>
      </c>
      <c r="C390" s="165"/>
      <c r="D390" s="165"/>
      <c r="E390" s="165"/>
      <c r="F390" s="165"/>
      <c r="G390" s="165"/>
      <c r="H390" s="165"/>
      <c r="I390" s="165"/>
      <c r="J390" s="165"/>
      <c r="K390" s="165"/>
      <c r="L390" s="165"/>
      <c r="M390" s="165"/>
      <c r="N390" s="165"/>
      <c r="O390" s="165"/>
    </row>
    <row r="391" spans="1:15">
      <c r="A391" s="108" t="s">
        <v>1523</v>
      </c>
      <c r="B391" s="112" t="str">
        <f>IF(AND(Total_Units=0,total_units_in_setaside_chart=0),"",IF(Minimum_SetAside_per_Sec_42=Data1!A$342,"",IF('Units, Set-Asides, Bldgs'!R32=0," For Workforce Developments, the minimum FHFC HC commitment of "&amp;TEXT(Data1!B349,"0%")&amp;" is "&amp;IF(SUM('Units, Set-Asides, Bldgs'!G21:G28)+IF(Minimum_SetAside_per_Sec_42=Data1!A340,'Units, Set-Asides, Bldgs'!G29,0)&gt;=Data1!B349,"","NOT ")&amp;"met, and the maximum HC commitment of "&amp;TEXT(Data1!B350,"0%")&amp;" is "&amp;IF(SUM('Units, Set-Asides, Bldgs'!G21:G29)&lt;=Data1!B350,"","NOT ")&amp;"met.","")))</f>
        <v/>
      </c>
      <c r="C391" s="165"/>
      <c r="D391" s="165"/>
      <c r="E391" s="165"/>
      <c r="F391" s="165"/>
      <c r="G391" s="165"/>
      <c r="H391" s="165"/>
      <c r="I391" s="165"/>
      <c r="J391" s="165"/>
      <c r="K391" s="165"/>
      <c r="L391" s="165"/>
      <c r="M391" s="165"/>
      <c r="N391" s="165"/>
      <c r="O391" s="165"/>
    </row>
    <row r="392" spans="1:15">
      <c r="A392" s="108" t="s">
        <v>1524</v>
      </c>
      <c r="B392" s="112" t="str">
        <f>IF(AND(Total_Units=0,total_units_in_setaside_chart=0),"",IF(Minimum_SetAside_per_Sec_42=Data1!A$342,"",IF(Demographic="Elderly ALF"," The minimum FHFC HC commitment for Elderly ALF Developments of "&amp;TEXT(Data1!B351,"0%")&amp;" is "&amp;IF(SUM('Units, Set-Asides, Bldgs'!G21:G28)+IF(Minimum_SetAside_per_Sec_42=Data1!A340,'Units, Set-Asides, Bldgs'!G29,0)&gt;=Data1!B351,"","NOT ")&amp;"met.","")))</f>
        <v/>
      </c>
      <c r="C392" s="165"/>
      <c r="D392" s="165"/>
      <c r="E392" s="165"/>
      <c r="F392" s="165"/>
      <c r="G392" s="165"/>
      <c r="H392" s="165"/>
      <c r="I392" s="165"/>
      <c r="J392" s="165"/>
      <c r="K392" s="165"/>
      <c r="L392" s="165"/>
      <c r="M392" s="165"/>
      <c r="N392" s="165"/>
      <c r="O392" s="165"/>
    </row>
    <row r="393" spans="1:15">
      <c r="A393" s="108" t="s">
        <v>1525</v>
      </c>
      <c r="B393" s="112" t="str">
        <f>IF(AND(Total_Units=0,total_units_in_setaside_chart=0),""," The minimum FHFC RFA overall set-aside commitment of "&amp;TEXT(Data1!B$345,"0%")&amp;" is"&amp;IF(SUM('Units, Set-Asides, Bldgs'!G21:G28)+IF(Minimum_SetAside_per_Sec_42=Data1!A340,'Units, Set-Asides, Bldgs'!G29,0)+IF('Units, Set-Asides, Bldgs'!R32=1,0,'Units, Set-Asides, Bldgs'!G31)&gt;=Data1!B$345,"",IF(AND('Units, Set-Asides, Bldgs'!R70=1,SUMIF('Units, Set-Asides, Bldgs'!I$73:I$84,"&lt;="&amp;Data1!B$362,'Units, Set-Asides, Bldgs'!G$73:G$84)&gt;=Data1!B$345),"n't"," NOT"))&amp;" met"&amp;IF(OR('Units, Set-Asides, Bldgs'!R70=0,SUM('Units, Set-Asides, Bldgs'!G21:G28)+IF(Minimum_SetAside_per_Sec_42=Data1!A340,'Units, Set-Asides, Bldgs'!G29,0)+IF(Data1!B356="HOME",'Units, Set-Asides, Bldgs'!G30,0)+IF('Units, Set-Asides, Bldgs'!R32=1,0,'Units, Set-Asides, Bldgs'!G31)&lt;=IF(Minimum_SetAside_per_Sec_42=Data1!A$342,Data1!B$357,Data1!B$345)),"."," with the "&amp;IF(Minimum_SetAside_per_Sec_42=Data1!A$342,Data1!B356&amp;" Loan","HC")&amp;" set-aside commitment.")&amp;IF(SUM('Units, Set-Asides, Bldgs'!G21:G28)+IF(Minimum_SetAside_per_Sec_42=Data1!A340,'Units, Set-Asides, Bldgs'!G29,0)+IF(Data1!B356="HOME",'Units, Set-Asides, Bldgs'!G30,0)+IF('Units, Set-Asides, Bldgs'!R32=1,0,'Units, Set-Asides, Bldgs'!G31)&lt;IF(Minimum_SetAside_per_Sec_42=Data1!A$342,Data1!B$357,Data1!B$345),IF('Units, Set-Asides, Bldgs'!R70=0,"",IF(SUMIF('Units, Set-Asides, Bldgs'!I$73:I$84,"&lt;="&amp;Data1!B$362,'Units, Set-Asides, Bldgs'!G$73:G$84)&gt;=Data1!B$345," However,"," In addition,")&amp;" the "&amp;DS_Gap_Name&amp;" Set-Aside table shows the minimum FHFC RFA overall set-aside commitment is"&amp;IF(SUMIF('Units, Set-Asides, Bldgs'!I$73:I$84,"&lt;="&amp;Data1!B$362,'Units, Set-Asides, Bldgs'!G$73:G$84)&gt;=Data1!B$345,""," NOT")&amp;" met with a "&amp;DS_Gap_Name&amp;" commitment of "&amp;TEXT(SUMIF('Units, Set-Asides, Bldgs'!I$73:I$84,"&lt;="&amp;Data1!B$362,'Units, Set-Asides, Bldgs'!G$73:G$84),"0%")&amp;"."),""))</f>
        <v/>
      </c>
      <c r="C393" s="165"/>
      <c r="D393" s="165"/>
      <c r="E393" s="165"/>
      <c r="F393" s="165"/>
      <c r="G393" s="165"/>
      <c r="H393" s="165"/>
      <c r="I393" s="165"/>
      <c r="J393" s="165"/>
      <c r="K393" s="165"/>
      <c r="L393" s="165"/>
      <c r="M393" s="165"/>
      <c r="N393" s="165"/>
      <c r="O393" s="165"/>
    </row>
    <row r="394" spans="1:15">
      <c r="A394" s="833" t="s">
        <v>1526</v>
      </c>
      <c r="B394" s="831" t="str">
        <f>IF(AND(Total_Units=0,total_units_in_setaside_chart=0),"",IF(IF(Self_Sourced_Applicant="Yes",DS_Min_ELI_NonAIT_SS+IF(B$372="Yes",DS_Min_ELI_NonAIT_Buy_SS,0),DS_Min_ELI_NonAIT_NSS+IF(B$372="Yes",DS_Min_ELI_NonAIT_Buy_NSS,0))&gt;0," The minimum FHFC ELI commitment of "&amp;TEXT(IF(Self_Sourced_Applicant="Yes",DS_Min_ELI_NonAIT_SS+IF(B$372="Yes",DS_Min_ELI_NonAIT_Buy_SS,0),DS_Min_ELI_NonAIT_NSS+IF(B$372="Yes",DS_Min_ELI_NonAIT_Buy_NSS,0)),"0%")&amp;" is "&amp;IF(IF(B$372="Yes",Data1!G$371,Data1!G$370)&gt;=Minimum_ELI,"","NOT ")&amp;"met with an ELI commitment of "&amp;TEXT(IF(B$372="Yes",Data1!G$371,Data1!G$370),"0%")&amp;".",""))</f>
        <v/>
      </c>
      <c r="C394" s="599"/>
      <c r="D394" s="599"/>
      <c r="E394" s="599"/>
      <c r="F394" s="599"/>
      <c r="G394" s="599"/>
      <c r="H394" s="599"/>
      <c r="I394" s="599"/>
      <c r="J394" s="599"/>
      <c r="K394" s="599"/>
      <c r="L394" s="599"/>
      <c r="M394" s="599"/>
      <c r="N394" s="599"/>
      <c r="O394" s="599"/>
    </row>
    <row r="395" spans="1:15">
      <c r="A395" s="396" t="str">
        <f>"Section 4.A.6."&amp;'Units, Set-Asides, Bldgs'!A$10&amp;"."&amp;'Units, Set-Asides, Bldgs'!B$15&amp;"("&amp;'Units, Set-Asides, Bldgs'!C$35&amp;") Set-Aside Table"</f>
        <v>Section 4.A.6.c.(1)() Set-Aside Table</v>
      </c>
      <c r="M395" s="1042"/>
    </row>
    <row r="396" spans="1:15">
      <c r="A396" t="s">
        <v>1545</v>
      </c>
      <c r="B396" s="165" t="str">
        <f>IF(AND(Total_Units=0,Total_AIT_Chart_Units=0),"","All of the units have "&amp;IF(AND(Total_Units&gt;0,Total_Units=Total_AIT_Chart_Units),"","NOT ")&amp;"been entered in the AIT Set-Aside Chart.")</f>
        <v/>
      </c>
      <c r="C396" s="165"/>
      <c r="D396" s="165"/>
      <c r="E396" s="165"/>
      <c r="F396" s="165"/>
      <c r="G396" s="165"/>
      <c r="H396" s="165"/>
      <c r="I396" s="165"/>
      <c r="J396" s="165"/>
      <c r="K396" s="165"/>
      <c r="L396" s="165"/>
      <c r="M396" s="165"/>
      <c r="N396" s="165"/>
      <c r="O396" s="165"/>
    </row>
    <row r="397" spans="1:15">
      <c r="A397" s="108" t="str">
        <f>"Minimum IRS/"&amp;DS_Loan_Name&amp;" Set-Aside"</f>
        <v>Minimum IRS/HOME-ARP Set-Aside</v>
      </c>
      <c r="B397" s="112" t="str">
        <f>IF(AND(Total_Units=0,Total_AIT_Chart_Units=0),""," With a HC commitment of "&amp;TEXT(SUM('Units, Set-Asides, Bldgs'!F38:F44),"0")&amp;" units, the minimum IRS Set-Aside commitment of 40% ("&amp;TEXT(ROUNDUP(40%*Total_Units,0),"0")&amp;" units) is"&amp;IF(SUM('Units, Set-Asides, Bldgs'!G38:G44)&gt;=40%,""," NOT")&amp;" met. The average AMI of the HC units must be 60% or less which is "&amp;IF(avg_AMI_HC_Units_in_avg_inc_chart&lt;=60%,"","NOT ")&amp;"met with an average of "&amp;TEXT(avg_AMI_HC_Units_in_avg_inc_chart,"0.000%")&amp;".")</f>
        <v/>
      </c>
      <c r="C397" s="165"/>
      <c r="D397" s="165"/>
      <c r="E397" s="165"/>
      <c r="F397" s="165"/>
      <c r="G397" s="165"/>
      <c r="H397" s="165"/>
      <c r="I397" s="165"/>
      <c r="J397" s="165"/>
      <c r="K397" s="165"/>
      <c r="L397" s="165"/>
      <c r="M397" s="165"/>
      <c r="N397" s="165"/>
      <c r="O397" s="165"/>
    </row>
    <row r="398" spans="1:15">
      <c r="A398" s="108" t="s">
        <v>1522</v>
      </c>
      <c r="B398" s="112" t="str">
        <f>IF(AND(Total_Units=0,Total_AIT_Chart_Units=0),"",IF(NonProfit_Applicant="Yes"," The minimum IRS Safe-Harbor Set-Aside commitment for Non-Profit Applicants of "&amp;TEXT(Data1!B352,"0%")&amp;" ("&amp;TEXT(ROUNDUP(Data1!B352*Total_Units,0),"0")&amp;" units) is "&amp;IF(SUM('Units, Set-Asides, Bldgs'!G38:G44)&gt;=Data1!B352,"","NOT ")&amp;"met.",""))</f>
        <v/>
      </c>
      <c r="C398" s="165"/>
      <c r="D398" s="165"/>
      <c r="E398" s="165"/>
      <c r="F398" s="165"/>
      <c r="G398" s="165"/>
      <c r="H398" s="165"/>
      <c r="I398" s="165"/>
      <c r="J398" s="165"/>
      <c r="K398" s="165"/>
      <c r="L398" s="165"/>
      <c r="M398" s="165"/>
      <c r="N398" s="165"/>
      <c r="O398" s="165"/>
    </row>
    <row r="399" spans="1:15">
      <c r="A399" s="108" t="s">
        <v>1523</v>
      </c>
      <c r="B399" s="112" t="str">
        <f>IF(AND(Total_Units=0,Total_AIT_Chart_Units=0),"",IF('Units, Set-Asides, Bldgs'!R32=1,""," For Workforce Developments, the minimum FHFC HC commitment at 60% AMI or less of "&amp;TEXT(Data1!B349,"0%")&amp;" ("&amp;TEXT(ROUNDUP(Data1!B349*Total_Units,0),"0")&amp;" units) is "&amp;IF(SUM('Units, Set-Asides, Bldgs'!G38:G42)&gt;=Data1!B349,"","NOT ")&amp;"met with a commitment of "&amp;TEXT(SUM('Units, Set-Asides, Bldgs'!F38:F42),"0")&amp;" units, and the maximum HC commitment at 60% AMI or less of "&amp;TEXT(Data1!B350,"0%")&amp;" ("&amp;TEXT(ROUNDUP(Data1!B350*Total_Units,0),"0")&amp;" units) is "&amp;IF(ROUNDUP(Data1!B350*Total_Units,0)&gt;=SUM('Units, Set-Asides, Bldgs'!F38:F42),"","NOT ")&amp;"met."))</f>
        <v/>
      </c>
      <c r="C399" s="165"/>
      <c r="D399" s="165"/>
      <c r="E399" s="165"/>
      <c r="F399" s="165"/>
      <c r="G399" s="165"/>
      <c r="H399" s="165"/>
      <c r="I399" s="165"/>
      <c r="J399" s="165"/>
      <c r="K399" s="165"/>
      <c r="L399" s="165"/>
      <c r="M399" s="165"/>
      <c r="N399" s="165"/>
      <c r="O399" s="165"/>
    </row>
    <row r="400" spans="1:15">
      <c r="A400" s="108" t="s">
        <v>1524</v>
      </c>
      <c r="B400" s="112" t="str">
        <f>IF(AND(Total_Units=0,Total_AIT_Chart_Units=0),"",IF(Demographic="Elderly ALF"," The minimum FHFC HC commitment for Elderly ALF Developments of "&amp;TEXT(Data1!B351,"0%")&amp;" is "&amp;IF(SUM('Units, Set-Asides, Bldgs'!G38:G44)&gt;=Data1!B351,"","NOT ")&amp;"met.",""))</f>
        <v/>
      </c>
      <c r="C400" s="165"/>
      <c r="D400" s="165"/>
      <c r="E400" s="165"/>
      <c r="F400" s="165"/>
      <c r="G400" s="165"/>
      <c r="H400" s="165"/>
      <c r="I400" s="165"/>
      <c r="J400" s="165"/>
      <c r="K400" s="165"/>
      <c r="L400" s="165"/>
      <c r="M400" s="165"/>
      <c r="N400" s="165"/>
      <c r="O400" s="165"/>
    </row>
    <row r="401" spans="1:48">
      <c r="A401" s="108" t="s">
        <v>1525</v>
      </c>
      <c r="B401" s="112" t="str">
        <f>IF(AND(Total_Units=0,Total_AIT_Chart_Units=0),""," The minimum FHFC RFA overall set-aside commitment of "&amp;TEXT(Data1!B$345,"0%")&amp;" ("&amp;TEXT(ROUNDUP(Data1!B$345*Total_Units,0),"0")&amp;" units) is"&amp;IF(SUM('Units, Set-Asides, Bldgs'!G38:G44)+IF('Units, Set-Asides, Bldgs'!R32=0,'Units, Set-Asides, Bldgs'!G45,0)&gt;=Data1!B$345,"",IF(AND('Units, Set-Asides, Bldgs'!R70=1,SUMIF('Units, Set-Asides, Bldgs'!I$73:I$84,"&lt;="&amp;Data1!B$362,'Units, Set-Asides, Bldgs'!G$73:G$84)&gt;=Data1!B$345),"n't"," NOT"))&amp;" met"&amp;IF(OR('Units, Set-Asides, Bldgs'!R70=0,SUM('Units, Set-Asides, Bldgs'!G38:G44)&lt;=Data1!B345),"."," with a "&amp;IF(Minimum_SetAside_per_Sec_42=Data1!A$342,"Loan","HC")&amp;" commitment of "&amp;TEXT(SUM('Units, Set-Asides, Bldgs'!F38:F44)+IF('Units, Set-Asides, Bldgs'!R32=0,'Units, Set-Asides, Bldgs'!F45,0),"0")&amp;" units.")&amp;IF(SUM('Units, Set-Asides, Bldgs'!G38:G44)+IF('Units, Set-Asides, Bldgs'!R32=0,'Units, Set-Asides, Bldgs'!G45,0)&lt;Data1!B$345,IF('Units, Set-Asides, Bldgs'!R70=0,"",IF(SUMIF('Units, Set-Asides, Bldgs'!I$73:I$84,"&lt;="&amp;Data1!B$362,'Units, Set-Asides, Bldgs'!G$73:G$84)&gt;=Data1!B$345," However"," In addition")&amp;", the "&amp;DS_Gap_Name&amp;" Set-Aside table shows the minimum FHFC RFA overall set-aside commitment is"&amp;IF(SUMIF('Units, Set-Asides, Bldgs'!I$73:I$84,"&lt;="&amp;Data1!B$362,'Units, Set-Asides, Bldgs'!G$73:G$84)&gt;=Data1!B$345,""," NOT")&amp;" met with a "&amp;DS_Gap_Name&amp;" commitment of "&amp;TEXT(SUMIF('Units, Set-Asides, Bldgs'!I$73:I$84,"&lt;="&amp;Data1!B$362,'Units, Set-Asides, Bldgs'!G$73:G$84),"0%")&amp;"."),""))</f>
        <v/>
      </c>
      <c r="C401" s="165"/>
      <c r="D401" s="165"/>
      <c r="E401" s="165"/>
      <c r="F401" s="165"/>
      <c r="G401" s="165"/>
      <c r="H401" s="165"/>
      <c r="I401" s="165"/>
      <c r="J401" s="165"/>
      <c r="K401" s="165"/>
      <c r="L401" s="165"/>
      <c r="M401" s="165"/>
      <c r="N401" s="165"/>
      <c r="O401" s="165"/>
    </row>
    <row r="402" spans="1:48">
      <c r="A402" s="1256" t="s">
        <v>1526</v>
      </c>
      <c r="B402" s="831" t="str">
        <f>IF(AND(Total_Units=0,Total_AIT_Chart_Units=0),"",IF(IF(Self_Sourced_Applicant="Yes",DS_Min_ELI_AIT_SS+IF(B372="Yes",DS_Min_ELI_AIT_Buy_SS,0),DS_Min_ELI_AIT_NSS+IF(B372="Yes",DS_Min_ELI_AIT_Buy_NSS,0))&gt;0," The minimum FHFC ELI commitment (at 30% AMI or less) of "&amp;TEXT(IF(Self_Sourced_Applicant="Yes",DS_Min_ELI_AIT_SS+IF(B372="Yes",DS_Min_ELI_AIT_Buy_SS,0),DS_Min_ELI_AIT_NSS+IF(B372="Yes",DS_Min_ELI_AIT_Buy_NSS,0)),"0%")&amp;" ("&amp;TEXT(ROUNDUP(IF(Self_Sourced_Applicant="Yes",DS_Min_ELI_AIT_SS+IF(B372="Yes",DS_Min_ELI_AIT_Buy_SS,0),DS_Min_ELI_AIT_NSS+IF(B372="Yes",DS_Min_ELI_AIT_Buy_NSS,0))*Total_Units,0),"0")&amp;" units) is "&amp;IF(ROUND(IF(Self_Sourced_Applicant="Yes",DS_Min_ELI_AIT_SS+IF(B372="Yes",DS_Min_ELI_AIT_Buy_SS,0),DS_Min_ELI_AIT_NSS+IF(B372="Yes",DS_Min_ELI_AIT_Buy_NSS,0))*Total_Units,0)&lt;='Units, Set-Asides, Bldgs'!F38+'Units, Set-Asides, Bldgs'!F39,"","NOT ")&amp;"met with an ELI commitment of "&amp;TEXT('Units, Set-Asides, Bldgs'!F38+'Units, Set-Asides, Bldgs'!F39,"0")&amp;" units.",""))</f>
        <v/>
      </c>
      <c r="C402" s="599"/>
      <c r="D402" s="599"/>
      <c r="E402" s="599"/>
      <c r="F402" s="599"/>
      <c r="G402" s="599"/>
      <c r="H402" s="599"/>
      <c r="I402" s="599"/>
      <c r="J402" s="599"/>
      <c r="K402" s="599"/>
      <c r="L402" s="599"/>
      <c r="M402" s="599"/>
      <c r="N402" s="599"/>
      <c r="O402" s="599"/>
    </row>
    <row r="403" spans="1:48">
      <c r="A403" s="396" t="str">
        <f>"Section 4.A.6."&amp;'Units, Set-Asides, Bldgs'!A$10&amp;"."&amp;'Units, Set-Asides, Bldgs'!B$15&amp;"("&amp;'Units, Set-Asides, Bldgs'!C$70&amp;") Set-Aside Table"</f>
        <v>Section 4.A.6.c.(1)() Set-Aside Table</v>
      </c>
    </row>
    <row r="404" spans="1:48">
      <c r="A404" t="s">
        <v>1545</v>
      </c>
      <c r="B404" s="165" t="str">
        <f>IF(AND(Total_Units=0,Total_Gap_Chart_Units=0),"","All of the units have "&amp;IF(Total_Units=Total_Gap_Chart_Units,"","NOT ")&amp;"been entered in the "&amp;DS_Gap_Name&amp;" Set-Aside Chart.")</f>
        <v/>
      </c>
      <c r="C404" s="165"/>
      <c r="D404" s="165"/>
      <c r="E404" s="165"/>
      <c r="F404" s="165"/>
      <c r="G404" s="165"/>
      <c r="H404" s="165"/>
      <c r="I404" s="165"/>
      <c r="J404" s="165"/>
      <c r="K404" s="165"/>
      <c r="L404" s="165"/>
      <c r="M404" s="165"/>
      <c r="N404" s="165"/>
      <c r="O404" s="165"/>
    </row>
    <row r="405" spans="1:48">
      <c r="A405" s="108" t="str">
        <f>"Minimum "&amp;DS_Gap_Name&amp;" Set-Asides"</f>
        <v>Minimum SAIL Set-Asides</v>
      </c>
      <c r="B405" s="112" t="str">
        <f>IF(AND(Total_Units=0,Total_Gap_Chart_Units=0),""," The minimum "&amp;DS_Gap_Name&amp;" Set-Aside commitment of "&amp;TEXT(DS_Gap_Min_SA_Perc,"0%")&amp;" is"&amp;IF(SUMIF('Units, Set-Asides, Bldgs'!I73:I84,"&lt;="&amp;DS_Gap_AMI_Max,'Units, Set-Asides, Bldgs'!G73:G84)&gt;=DS_Gap_Min_SA_Perc,""," NOT")&amp;" met.")</f>
        <v/>
      </c>
      <c r="C405" s="165"/>
      <c r="D405" s="165"/>
      <c r="E405" s="165"/>
      <c r="F405" s="165"/>
      <c r="G405" s="165"/>
      <c r="H405" s="165"/>
      <c r="I405" s="165"/>
      <c r="J405" s="165"/>
      <c r="K405" s="165"/>
      <c r="L405" s="165"/>
      <c r="M405" s="165"/>
      <c r="N405" s="165"/>
      <c r="O405" s="165"/>
    </row>
    <row r="406" spans="1:48">
      <c r="A406" s="108" t="str">
        <f>"Maximum "&amp;DS_Gap_Name&amp;" Set-Asides"</f>
        <v>Maximum SAIL Set-Asides</v>
      </c>
      <c r="B406" s="112" t="str">
        <f>IF(AND(Total_Units=0,Total_Gap_Chart_Units=0),""," The maximum "&amp;DS_Gap_Name&amp;" commitment of "&amp;TEXT(DS_Gap_Max_SA_Perc,"0%")&amp;" is "&amp;IF(SUMIF('Units, Set-Asides, Bldgs'!I73:I84,"&lt;="&amp;DS_Gap_AMI_Max,'Units, Set-Asides, Bldgs'!G73:G84)&lt;=DS_Gap_Max_SA_Perc,"","NOT ")&amp;"met.")</f>
        <v/>
      </c>
      <c r="C406" s="165"/>
      <c r="D406" s="165"/>
      <c r="E406" s="165"/>
      <c r="F406" s="165"/>
      <c r="G406" s="165"/>
      <c r="H406" s="165"/>
      <c r="I406" s="165"/>
      <c r="J406" s="165"/>
      <c r="K406" s="165"/>
      <c r="L406" s="165"/>
      <c r="M406" s="165"/>
      <c r="N406" s="165"/>
      <c r="O406" s="165"/>
    </row>
    <row r="407" spans="1:48">
      <c r="A407" s="1123" t="str">
        <f>"Minimum "&amp;DS_Gap_Name&amp;" ELI Set-Asides"</f>
        <v>Minimum SAIL ELI Set-Asides</v>
      </c>
      <c r="B407" s="112" t="str">
        <f>IF(AND(Total_Units=0,Total_Gap_Chart_Units=0),""," The "&amp;TEXT(IF('General Information'!G30="Yes",IF(Minimum_SetAside_per_Sec_42="Average Income Test",Data1!B383,Data1!B379),IF(Minimum_SetAside_per_Sec_42="Average Income Test",Data1!B381,Data1!B377)),"0%")&amp;" minimum "&amp;DS_Gap_Name&amp;" ELI commitment (at "&amp;TEXT(IF(Minimum_SetAside_per_Sec_42="Average Income Test",30%,IFERROR(VLOOKUP(County,DS_CountyData,14),25%)),"0%")&amp;" AMI or less) "&amp;IF('General Information'!K30=0,"","for a "&amp;IF('General Information'!G30="Yes","","Non-")&amp;"Self-Sourced Development ")&amp;"is "&amp;IF(IF(Minimum_SetAside_per_Sec_42="Average Income Test",'Units, Set-Asides, Bldgs'!G75,SUMIF('Units, Set-Asides, Bldgs'!I73:I84,"&lt;="&amp;IFERROR(VLOOKUP(County,DS_CountyData,14),25%),'Units, Set-Asides, Bldgs'!G73:G84))&gt;=IF('General Information'!G30="Yes",IF(Minimum_SetAside_per_Sec_42="Average Income Test",Data1!B383,Data1!B379),IF(Minimum_SetAside_per_Sec_42="Average Income Test",Data1!B381,Data1!B377)),"","NOT ")&amp;"met with an ELI commitment of "&amp;TEXT(IF(Minimum_SetAside_per_Sec_42="Average Income Test",'Units, Set-Asides, Bldgs'!G75,SUMIF('Units, Set-Asides, Bldgs'!I73:I84,"&lt;="&amp;IFERROR(VLOOKUP(County,DS_CountyData,14),25%),'Units, Set-Asides, Bldgs'!G73:G84)),"0%")&amp;". ")</f>
        <v/>
      </c>
      <c r="C407" s="165"/>
      <c r="D407" s="165"/>
      <c r="E407" s="165"/>
      <c r="F407" s="165"/>
      <c r="G407" s="165"/>
      <c r="H407" s="165"/>
      <c r="I407" s="165"/>
      <c r="J407" s="165"/>
      <c r="K407" s="165"/>
      <c r="L407" s="165"/>
      <c r="M407" s="165"/>
      <c r="N407" s="165"/>
      <c r="O407" s="165"/>
    </row>
    <row r="408" spans="1:48">
      <c r="A408" s="833" t="str">
        <f>"Minimum "&amp;DS_Gap_Name&amp;" Set-Asides at or below "&amp;TEXT(IF(Minimum_SetAside_per_Sec_42="Average Income Test",Data1!B368,Data1!B366),"0%")&amp;" AMI (SS Apps only)"</f>
        <v>Minimum SAIL Set-Asides at or below 45% AMI (SS Apps only)</v>
      </c>
      <c r="B408" s="831" t="str">
        <f>IF(AND(Total_Units=0,Total_Gap_Chart_Units=0),"",IF(OR('General Information'!K30=0,'General Information'!G30&lt;&gt;"Yes"),""," The "&amp;TEXT(IF(Minimum_SetAside_per_Sec_42="Average Income Test",Data1!B367,Data1!B365),"0%")&amp;" minimum Self-Sourced commitment requirement for units at or below "&amp;TEXT(IF(Minimum_SetAside_per_Sec_42="Average Income Test",Data1!B368,Data1!B366),"0%")&amp;" AMI"&amp;IF(Minimum_SetAside_per_Sec_42="Average Income Test",", ex",", in")&amp;"clusive of ELI units, is"&amp;IF(SUMIF('Units, Set-Asides, Bldgs'!I73:I84,"&lt;="&amp;IF(Minimum_SetAside_per_Sec_42="Average Income Test",Data1!B368,Data1!B366),'Units, Set-Asides, Bldgs'!G73:G84)-IF(Minimum_SetAside_per_Sec_42="Average Income Test",SUM('Units, Set-Asides, Bldgs'!G73:G75),0)&gt;=IF(Minimum_SetAside_per_Sec_42="Average Income Test",Data1!B367,Data1!B365),""," NOT")&amp;" met with "&amp;TEXT(SUMIF('Units, Set-Asides, Bldgs'!I73:I84,"&lt;="&amp;IF(Minimum_SetAside_per_Sec_42="Average Income Test",Data1!B368,Data1!B366),'Units, Set-Asides, Bldgs'!G73:G84)-IF(Minimum_SetAside_per_Sec_42="Average Income Test",SUM('Units, Set-Asides, Bldgs'!G73:G75),0),"0%")&amp;" of the units."))</f>
        <v/>
      </c>
      <c r="C408" s="599"/>
      <c r="D408" s="599"/>
      <c r="E408" s="599"/>
      <c r="F408" s="599"/>
      <c r="G408" s="599"/>
      <c r="H408" s="599"/>
      <c r="I408" s="599"/>
      <c r="J408" s="599"/>
      <c r="K408" s="599"/>
      <c r="L408" s="599"/>
      <c r="M408" s="599"/>
      <c r="N408" s="599"/>
      <c r="O408" s="599"/>
    </row>
    <row r="409" spans="1:48">
      <c r="A409" s="10"/>
      <c r="B409" s="10"/>
      <c r="C409" s="10"/>
      <c r="D409" s="10"/>
      <c r="E409" s="10"/>
      <c r="F409" s="10"/>
    </row>
    <row r="410" spans="1:48" ht="18" customHeight="1">
      <c r="A410" s="1257" t="s">
        <v>1248</v>
      </c>
      <c r="B410" s="108"/>
      <c r="C410" s="108"/>
      <c r="D410" s="108"/>
      <c r="E410" s="1074" t="s">
        <v>1249</v>
      </c>
      <c r="G410" s="9" t="s">
        <v>1098</v>
      </c>
      <c r="V410" s="216" t="s">
        <v>1325</v>
      </c>
      <c r="W410" s="9" t="s">
        <v>1362</v>
      </c>
      <c r="AF410" s="9" t="s">
        <v>1363</v>
      </c>
    </row>
    <row r="411" spans="1:48">
      <c r="A411" s="621" t="s">
        <v>1356</v>
      </c>
      <c r="B411" s="820">
        <v>0.4</v>
      </c>
      <c r="C411" s="621" t="s">
        <v>1096</v>
      </c>
      <c r="D411" s="621"/>
      <c r="E411" s="621"/>
      <c r="F411" s="1558">
        <f>SUM('Units, Set-Asides, Bldgs'!H94:I95)</f>
        <v>0</v>
      </c>
      <c r="G411" s="104" t="str">
        <f>IF(AND(F411=0,'Units, Set-Asides, Bldgs'!H111=0),"","The minimum 0 and 1 bedroom units is "&amp;TEXT(Data1!$B411,"0%")&amp;" of the "&amp;TEXT(Total_Units,"0")&amp;" total units (or "&amp;TEXT(ROUNDUP(Total_Units*Data1!$B411,0),"0")&amp;" units) and the combined "&amp;TEXT('Units, Set-Asides, Bldgs'!$H$94+'Units, Set-Asides, Bldgs'!$H$95,"0")&amp;" units entered is "&amp;IF(ROUNDUP(Total_Units*Data1!$B411,0)&gt;'Units, Set-Asides, Bldgs'!$H$94+'Units, Set-Asides, Bldgs'!$H$95,"NOT ","")&amp;"meeting the requirement.")</f>
        <v/>
      </c>
      <c r="H411" s="778"/>
      <c r="I411" s="778"/>
      <c r="J411" s="778"/>
      <c r="K411" s="778"/>
      <c r="L411" s="778"/>
      <c r="M411" s="778"/>
      <c r="N411" s="778"/>
      <c r="O411" s="778"/>
      <c r="P411" s="778"/>
      <c r="Q411" s="778"/>
      <c r="R411" s="778"/>
      <c r="S411" s="778"/>
      <c r="T411" s="778"/>
      <c r="U411" s="778"/>
      <c r="V411" s="803" t="str">
        <f>IF(AND(OR(Demographic="Elderly Non-ALF",Demographic="Elderly (Elderly Transformative Preservation)"),OR(Development_Category="Rehabilitation",Development_Category="Acquisition and Rehabilitation")),IF(SUM('Units, Set-Asides, Bldgs'!H$94:H$95)&gt;=ROUNDUP(Total_Units*B411,0),"Yes","No"),"NA")</f>
        <v>NA</v>
      </c>
      <c r="W411" s="104" t="s">
        <v>1364</v>
      </c>
      <c r="X411" s="104"/>
      <c r="Y411" s="104"/>
      <c r="Z411" s="104"/>
      <c r="AA411" s="104"/>
      <c r="AB411" s="104"/>
      <c r="AC411" s="104"/>
      <c r="AD411" s="104"/>
      <c r="AE411" s="104"/>
      <c r="AF411" s="844" t="str">
        <f>IF(V411="No",W411&amp;" ","")&amp;IF(V412="No",W412&amp;" ","")&amp;IF(V$429="No",W$429,"")</f>
        <v/>
      </c>
      <c r="AG411" s="844"/>
      <c r="AH411" s="844"/>
      <c r="AI411" s="844"/>
      <c r="AJ411" s="844"/>
      <c r="AK411" s="844"/>
      <c r="AL411" s="844"/>
      <c r="AM411" s="844"/>
      <c r="AN411" s="844"/>
      <c r="AO411" s="844"/>
      <c r="AP411" s="844"/>
      <c r="AQ411" s="844"/>
      <c r="AR411" s="844"/>
      <c r="AS411" s="844"/>
      <c r="AT411" s="844"/>
      <c r="AU411" s="844"/>
      <c r="AV411" s="844"/>
    </row>
    <row r="412" spans="1:48">
      <c r="A412" s="832" t="s">
        <v>1357</v>
      </c>
      <c r="B412" s="532">
        <v>0.2</v>
      </c>
      <c r="C412" s="832" t="s">
        <v>1096</v>
      </c>
      <c r="D412" s="832"/>
      <c r="E412" s="832"/>
      <c r="F412" s="1559">
        <f>SUM('Units, Set-Asides, Bldgs'!H99:I110)</f>
        <v>0</v>
      </c>
      <c r="G412" s="829" t="str">
        <f>IF(F412=0,"","The maximum number of units in excess of 2 bedrooms is "&amp;TEXT(Data1!$B412,"0%")&amp;" of the "&amp;TEXT(Total_Units,"0")&amp;" total units (or "&amp;TEXT(ROUNDUP(Total_Units*Data1!$B412,0),"0")&amp;" units) and the combined "&amp;TEXT(SUM('Units, Set-Asides, Bldgs'!$H$99:$H$110),"0")&amp;" entered is "&amp;IF(ROUNDUP(Total_Units*Data1!$B412,0)&lt;SUM('Units, Set-Asides, Bldgs'!$H$99:$H$110),"NOT ","")&amp;"meeting the requirement.")</f>
        <v/>
      </c>
      <c r="H412" s="779"/>
      <c r="I412" s="779"/>
      <c r="J412" s="779"/>
      <c r="K412" s="779"/>
      <c r="L412" s="779"/>
      <c r="M412" s="779"/>
      <c r="N412" s="779"/>
      <c r="O412" s="779"/>
      <c r="P412" s="779"/>
      <c r="Q412" s="779"/>
      <c r="R412" s="779"/>
      <c r="S412" s="779"/>
      <c r="T412" s="779"/>
      <c r="U412" s="779"/>
      <c r="V412" s="805" t="str">
        <f>IF(AND(OR(Demographic="Elderly Non-ALF",Demographic="Elderly (Elderly Transformative Preservation)"),OR(Development_Category="Rehabilitation",Development_Category="Acquisition and Rehabilitation")),IF(SUM('Units, Set-Asides, Bldgs'!H$99:H$110)&lt;=ROUNDUP(Total_Units*B412,0),"Yes","No"),"NA")</f>
        <v>NA</v>
      </c>
      <c r="W412" s="829" t="s">
        <v>1361</v>
      </c>
      <c r="X412" s="829"/>
      <c r="Y412" s="829"/>
      <c r="Z412" s="829"/>
      <c r="AA412" s="829"/>
      <c r="AB412" s="829"/>
      <c r="AC412" s="829"/>
      <c r="AD412" s="829"/>
      <c r="AE412" s="829"/>
      <c r="AF412" s="843"/>
      <c r="AG412" s="843"/>
      <c r="AH412" s="843"/>
      <c r="AI412" s="843"/>
      <c r="AJ412" s="843"/>
      <c r="AK412" s="843"/>
      <c r="AL412" s="843"/>
      <c r="AM412" s="843"/>
      <c r="AN412" s="843"/>
      <c r="AO412" s="843"/>
      <c r="AP412" s="843"/>
      <c r="AQ412" s="843"/>
      <c r="AR412" s="843"/>
      <c r="AS412" s="843"/>
      <c r="AT412" s="843"/>
      <c r="AU412" s="843"/>
      <c r="AV412" s="843"/>
    </row>
    <row r="413" spans="1:48">
      <c r="A413" s="621" t="s">
        <v>1358</v>
      </c>
      <c r="B413" s="776">
        <v>0.5</v>
      </c>
      <c r="C413" s="621" t="s">
        <v>2091</v>
      </c>
      <c r="D413" s="621"/>
      <c r="E413" s="621"/>
      <c r="F413" s="1558">
        <f>SUM('Units, Set-Asides, Bldgs'!H94:I95)</f>
        <v>0</v>
      </c>
      <c r="G413" s="104" t="str">
        <f>IF(AND(F413=0,'Units, Set-Asides, Bldgs'!H111=0),"","The minimum 0 and 1 bedroom units is "&amp;TEXT(Data1!$B413,"0%")&amp;" of the "&amp;TEXT(Total_Units,"0")&amp;" total units (or "&amp;TEXT(ROUNDUP(Total_Units*Data1!$B413,0),"0")&amp;" units) and the combined "&amp;TEXT('Units, Set-Asides, Bldgs'!$H$94+'Units, Set-Asides, Bldgs'!$H$95,"0")&amp;" units entered is "&amp;IF(ROUNDUP(Total_Units*Data1!$B413,0)&gt;'Units, Set-Asides, Bldgs'!$H$94+'Units, Set-Asides, Bldgs'!$H$95,"NOT ","")&amp;"meeting the requirement.")</f>
        <v/>
      </c>
      <c r="H413" s="778"/>
      <c r="I413" s="778"/>
      <c r="J413" s="778"/>
      <c r="K413" s="778"/>
      <c r="L413" s="778"/>
      <c r="M413" s="778"/>
      <c r="N413" s="778"/>
      <c r="O413" s="778"/>
      <c r="P413" s="778"/>
      <c r="Q413" s="778"/>
      <c r="R413" s="778"/>
      <c r="S413" s="778"/>
      <c r="T413" s="778"/>
      <c r="U413" s="778"/>
      <c r="V413" s="803" t="str">
        <f>IF(AND(OR(Demographic="Elderly Non-ALF",Demographic="Elderly (Elderly Transformative Preservation)"),OR(Development_Category="New Construction",Development_Category="Redevelopment",Development_Category="Acquisition and Redevelopment")),IF(SUM('Units, Set-Asides, Bldgs'!H$94:H$95)&gt;=ROUNDUP(Total_Units*B413,0),"Yes","No"),"NA")</f>
        <v>NA</v>
      </c>
      <c r="W413" s="104" t="s">
        <v>1364</v>
      </c>
      <c r="X413" s="104"/>
      <c r="Y413" s="104"/>
      <c r="Z413" s="104"/>
      <c r="AA413" s="104"/>
      <c r="AB413" s="104"/>
      <c r="AC413" s="104"/>
      <c r="AD413" s="104"/>
      <c r="AE413" s="104"/>
      <c r="AF413" s="845" t="str">
        <f>IF(V413="No",W413&amp;" ","")&amp;IF(V414="No",W414&amp;" ","")&amp;IF(V$429="No",W$429,"")</f>
        <v/>
      </c>
      <c r="AG413" s="845"/>
      <c r="AH413" s="845"/>
      <c r="AI413" s="845"/>
      <c r="AJ413" s="845"/>
      <c r="AK413" s="845"/>
      <c r="AL413" s="845"/>
      <c r="AM413" s="845"/>
      <c r="AN413" s="845"/>
      <c r="AO413" s="845"/>
      <c r="AP413" s="845"/>
      <c r="AQ413" s="845"/>
      <c r="AR413" s="845"/>
      <c r="AS413" s="845"/>
      <c r="AT413" s="845"/>
      <c r="AU413" s="845"/>
      <c r="AV413" s="845"/>
    </row>
    <row r="414" spans="1:48">
      <c r="A414" s="833" t="s">
        <v>1359</v>
      </c>
      <c r="B414" s="532">
        <v>0.15</v>
      </c>
      <c r="C414" s="833" t="s">
        <v>2091</v>
      </c>
      <c r="D414" s="833"/>
      <c r="E414" s="833"/>
      <c r="F414" s="1560">
        <f>SUM('Units, Set-Asides, Bldgs'!H99:I110)</f>
        <v>0</v>
      </c>
      <c r="G414" s="830" t="str">
        <f>IF(F414=0,"","The maximum number of units in excess of 2 bedrooms is "&amp;TEXT(Data1!$B414,"0%")&amp;" of the "&amp;TEXT(Total_Units,"0")&amp;" total units (or "&amp;TEXT(ROUNDUP(Total_Units*Data1!$B414,0),"0")&amp;" units) and the combined "&amp;TEXT(SUM('Units, Set-Asides, Bldgs'!$H$99:$H$110),"0")&amp;" entered is "&amp;IF(ROUNDUP(Total_Units*Data1!$B414,0)&lt;SUM('Units, Set-Asides, Bldgs'!$H$99:$H$110),"NOT ","")&amp;"meeting the requirement.")</f>
        <v/>
      </c>
      <c r="H414" s="780"/>
      <c r="I414" s="780"/>
      <c r="J414" s="780"/>
      <c r="K414" s="780"/>
      <c r="L414" s="780"/>
      <c r="M414" s="780"/>
      <c r="N414" s="780"/>
      <c r="O414" s="780"/>
      <c r="P414" s="780"/>
      <c r="Q414" s="780"/>
      <c r="R414" s="780"/>
      <c r="S414" s="780"/>
      <c r="T414" s="780"/>
      <c r="U414" s="780"/>
      <c r="V414" s="840" t="str">
        <f>IF(AND(OR(Demographic="Elderly Non-ALF",Demographic="Elderly (Elderly Transformative Preservation)"),OR(Development_Category="New Construction",Development_Category="Redevelopment",Development_Category="Acquisition and Redevelopment")),IF(SUM('Units, Set-Asides, Bldgs'!H$99:H$110)&lt;=ROUNDUP(Total_Units*B414,0),"Yes","No"),"NA")</f>
        <v>NA</v>
      </c>
      <c r="W414" s="830" t="s">
        <v>1361</v>
      </c>
      <c r="X414" s="830"/>
      <c r="Y414" s="830"/>
      <c r="Z414" s="830"/>
      <c r="AA414" s="830"/>
      <c r="AB414" s="830"/>
      <c r="AC414" s="830"/>
      <c r="AD414" s="830"/>
      <c r="AE414" s="830"/>
      <c r="AF414" s="843"/>
      <c r="AG414" s="843"/>
      <c r="AH414" s="843"/>
      <c r="AI414" s="843"/>
      <c r="AJ414" s="843"/>
      <c r="AK414" s="843"/>
      <c r="AL414" s="843"/>
      <c r="AM414" s="843"/>
      <c r="AN414" s="843"/>
      <c r="AO414" s="843"/>
      <c r="AP414" s="843"/>
      <c r="AQ414" s="843"/>
      <c r="AR414" s="843"/>
      <c r="AS414" s="843"/>
      <c r="AT414" s="843"/>
      <c r="AU414" s="843"/>
      <c r="AV414" s="843"/>
    </row>
    <row r="415" spans="1:48">
      <c r="A415" s="834" t="s">
        <v>1339</v>
      </c>
      <c r="B415" s="533">
        <v>0.9</v>
      </c>
      <c r="C415" s="834"/>
      <c r="D415" s="834"/>
      <c r="E415" s="834"/>
      <c r="F415" s="1561">
        <f>SUM('Units, Set-Asides, Bldgs'!H94:I95)</f>
        <v>0</v>
      </c>
      <c r="G415" s="831" t="str">
        <f>IF(AND(F415=0,'Units, Set-Asides, Bldgs'!H111=0),"","The minimum 0 and 1 bedroom units is "&amp;TEXT(Data1!$B415,"0%")&amp;" of the "&amp;TEXT(Total_Units,"0")&amp;" total units (or "&amp;TEXT(ROUNDUP(Total_Units*Data1!$B415,0),"0")&amp;" units) and the combined "&amp;TEXT('Units, Set-Asides, Bldgs'!$H$94+'Units, Set-Asides, Bldgs'!$H$95,"0")&amp;" units entered is "&amp;IF(ROUNDUP(Total_Units*Data1!$B415,0)&gt;'Units, Set-Asides, Bldgs'!$H$94+'Units, Set-Asides, Bldgs'!$H$95,"NOT ","")&amp;"meeting the requirement.")</f>
        <v/>
      </c>
      <c r="H415" s="599"/>
      <c r="I415" s="599"/>
      <c r="J415" s="599"/>
      <c r="K415" s="599"/>
      <c r="L415" s="599"/>
      <c r="M415" s="599"/>
      <c r="N415" s="599"/>
      <c r="O415" s="599"/>
      <c r="P415" s="599"/>
      <c r="Q415" s="599"/>
      <c r="R415" s="599"/>
      <c r="S415" s="599"/>
      <c r="T415" s="599"/>
      <c r="U415" s="599"/>
      <c r="V415" s="841" t="str">
        <f>IF(AND(Demographic="Elderly ALF",Development_Category&lt;&gt;"&lt;select one&gt;"),IF(SUM('Units, Set-Asides, Bldgs'!H$94:H$95)&gt;=ROUNDUP(Total_Units*B415,0),"Yes","No"),"NA")</f>
        <v>NA</v>
      </c>
      <c r="W415" s="831" t="s">
        <v>1364</v>
      </c>
      <c r="X415" s="831"/>
      <c r="Y415" s="831"/>
      <c r="Z415" s="831"/>
      <c r="AA415" s="831"/>
      <c r="AB415" s="831"/>
      <c r="AC415" s="831"/>
      <c r="AD415" s="831"/>
      <c r="AE415" s="831"/>
      <c r="AF415" s="846" t="str">
        <f>IF(V415="No",W415&amp;" ","")&amp;IF(V$429="No",W$429,"")</f>
        <v/>
      </c>
      <c r="AG415" s="846"/>
      <c r="AH415" s="846"/>
      <c r="AI415" s="846"/>
      <c r="AJ415" s="846"/>
      <c r="AK415" s="846"/>
      <c r="AL415" s="846"/>
      <c r="AM415" s="846"/>
      <c r="AN415" s="846"/>
      <c r="AO415" s="846"/>
      <c r="AP415" s="846"/>
      <c r="AQ415" s="846"/>
      <c r="AR415" s="846"/>
      <c r="AS415" s="846"/>
      <c r="AT415" s="846"/>
      <c r="AU415" s="846"/>
      <c r="AV415" s="846"/>
    </row>
    <row r="416" spans="1:48">
      <c r="A416" s="834" t="s">
        <v>1360</v>
      </c>
      <c r="B416" s="533">
        <v>0.25</v>
      </c>
      <c r="C416" s="834" t="s">
        <v>2091</v>
      </c>
      <c r="D416" s="834"/>
      <c r="E416" s="834"/>
      <c r="F416" s="1562">
        <f>Zero_Bed_One_Bath_Total_Units</f>
        <v>0</v>
      </c>
      <c r="G416" s="831" t="str">
        <f>IF(F416=0,"","The maximum 0-bedroom units is "&amp;TEXT(Data1!$B416,"0%")&amp;" of the "&amp;TEXT(Total_Units,"0")&amp;" total units (or "&amp;TEXT(ROUNDUP(Total_Units*Data1!$B416,0),"0")&amp;" units) and the "&amp;TEXT('Units, Set-Asides, Bldgs'!$H$94,"0")&amp;" units entered is "&amp;IF(ROUNDUP(Total_Units*Data1!$B416,0)&lt;'Units, Set-Asides, Bldgs'!$H$94,"NOT ","")&amp;"meeting the requirement.")</f>
        <v/>
      </c>
      <c r="H416" s="599"/>
      <c r="I416" s="599"/>
      <c r="J416" s="599"/>
      <c r="K416" s="599"/>
      <c r="L416" s="599"/>
      <c r="M416" s="599"/>
      <c r="N416" s="599"/>
      <c r="O416" s="599"/>
      <c r="P416" s="599"/>
      <c r="Q416" s="599"/>
      <c r="R416" s="599"/>
      <c r="S416" s="599"/>
      <c r="T416" s="599"/>
      <c r="U416" s="599"/>
      <c r="V416" s="841" t="str">
        <f>IF(AND(OR(Demographic="Family",Demographic="Workforce"),OR(Development_Category="New Construction",Development_Category="Redevelopment",Development_Category="Acquisition and Redevelopment")),IF('Units, Set-Asides, Bldgs'!H$94&lt;=ROUNDUP(Total_Units*B416,0),"Yes","No"),"NA")</f>
        <v>NA</v>
      </c>
      <c r="W416" s="831" t="s">
        <v>1365</v>
      </c>
      <c r="X416" s="831"/>
      <c r="Y416" s="831"/>
      <c r="Z416" s="831"/>
      <c r="AA416" s="831"/>
      <c r="AB416" s="831"/>
      <c r="AC416" s="831"/>
      <c r="AD416" s="831"/>
      <c r="AE416" s="831"/>
      <c r="AF416" s="847" t="str">
        <f>IF(V416="No",W416&amp;" ","")&amp;IF(V$429="No",W$429,"")</f>
        <v/>
      </c>
      <c r="AG416" s="847"/>
      <c r="AH416" s="847"/>
      <c r="AI416" s="847"/>
      <c r="AJ416" s="847"/>
      <c r="AK416" s="847"/>
      <c r="AL416" s="847"/>
      <c r="AM416" s="847"/>
      <c r="AN416" s="847"/>
      <c r="AO416" s="847"/>
      <c r="AP416" s="847"/>
      <c r="AQ416" s="847"/>
      <c r="AR416" s="847"/>
      <c r="AS416" s="847"/>
      <c r="AT416" s="847"/>
      <c r="AU416" s="847"/>
      <c r="AV416" s="847"/>
    </row>
    <row r="417" spans="1:48">
      <c r="A417" s="835" t="s">
        <v>1340</v>
      </c>
      <c r="B417" s="776">
        <v>0.5</v>
      </c>
      <c r="C417" s="835"/>
      <c r="D417" s="835"/>
      <c r="E417" s="835"/>
      <c r="F417" s="1563">
        <f>Zero_Bed_One_Bath_Total_Units</f>
        <v>0</v>
      </c>
      <c r="G417" s="104" t="str">
        <f>IF(F417=0,"","The maximum 0-bedroom units is "&amp;TEXT(Data1!$B417,"0%")&amp;" of the "&amp;TEXT(Total_Units,"0")&amp;" total units (or "&amp;TEXT(ROUNDUP(Total_Units*Data1!$B417,0),"0")&amp;" units) and the "&amp;TEXT('Units, Set-Asides, Bldgs'!$H$94,"0")&amp;" units entered is "&amp;IF(ROUNDUP(Total_Units*Data1!$B417,0)&lt;'Units, Set-Asides, Bldgs'!$H$94,"NOT ","")&amp;"meeting the requirement.")</f>
        <v/>
      </c>
      <c r="H417" s="778"/>
      <c r="I417" s="778"/>
      <c r="J417" s="778"/>
      <c r="K417" s="778"/>
      <c r="L417" s="778"/>
      <c r="M417" s="778"/>
      <c r="N417" s="778"/>
      <c r="O417" s="778"/>
      <c r="P417" s="778"/>
      <c r="Q417" s="778"/>
      <c r="R417" s="778"/>
      <c r="S417" s="778"/>
      <c r="T417" s="778"/>
      <c r="U417" s="778"/>
      <c r="V417" s="803" t="str">
        <f>IF(Demographic="Homeless",IF('Units, Set-Asides, Bldgs'!H$94&lt;=ROUNDUP(Total_Units*B417,0),"Yes","No"),"NA")</f>
        <v>NA</v>
      </c>
      <c r="W417" s="104" t="s">
        <v>1365</v>
      </c>
      <c r="X417" s="104"/>
      <c r="Y417" s="104"/>
      <c r="Z417" s="104"/>
      <c r="AA417" s="104"/>
      <c r="AB417" s="104"/>
      <c r="AC417" s="104"/>
      <c r="AD417" s="104"/>
      <c r="AE417" s="104"/>
      <c r="AF417" s="845" t="str">
        <f>IF(V417="No",W417&amp;" ","")&amp;IF(V418="No",W418&amp;" ","")&amp;IF(V419="No",W419&amp;" ","")&amp;IF(V420="No",W420&amp;" ","")&amp;IF(V$429="No",W$429,"")</f>
        <v/>
      </c>
      <c r="AG417" s="845"/>
      <c r="AH417" s="845"/>
      <c r="AI417" s="845"/>
      <c r="AJ417" s="845"/>
      <c r="AK417" s="845"/>
      <c r="AL417" s="845"/>
      <c r="AM417" s="845"/>
      <c r="AN417" s="845"/>
      <c r="AO417" s="845"/>
      <c r="AP417" s="845"/>
      <c r="AQ417" s="845"/>
      <c r="AR417" s="845"/>
      <c r="AS417" s="845"/>
      <c r="AT417" s="845"/>
      <c r="AU417" s="845"/>
      <c r="AV417" s="845"/>
    </row>
    <row r="418" spans="1:48">
      <c r="A418" s="836" t="s">
        <v>1341</v>
      </c>
      <c r="B418" s="767">
        <v>0.15</v>
      </c>
      <c r="C418" s="836"/>
      <c r="D418" s="836"/>
      <c r="E418" s="836"/>
      <c r="F418" s="1564">
        <f>One_Bed_One_Bath_Total_Units</f>
        <v>0</v>
      </c>
      <c r="G418" s="106" t="str">
        <f>IF(AND(F418=0,'Units, Set-Asides, Bldgs'!H111=0),"","The minimum 1 bedroom units is "&amp;TEXT(Data1!$B418,"0%")&amp;" of the "&amp;TEXT(Total_Units,"0")&amp;" total units (or "&amp;TEXT(ROUNDUP(Total_Units*Data1!$B418,0),"0")&amp;" units) and the "&amp;TEXT('Units, Set-Asides, Bldgs'!$H$95,"0")&amp;" units entered is "&amp;IF(ROUNDUP(Total_Units*Data1!$B418,0)&gt;'Units, Set-Asides, Bldgs'!$H$95,"NOT ","")&amp;"meeting the requirement.")</f>
        <v/>
      </c>
      <c r="H418" s="781"/>
      <c r="I418" s="781"/>
      <c r="J418" s="781"/>
      <c r="K418" s="781"/>
      <c r="L418" s="781"/>
      <c r="M418" s="781"/>
      <c r="N418" s="781"/>
      <c r="O418" s="781"/>
      <c r="P418" s="781"/>
      <c r="Q418" s="781"/>
      <c r="R418" s="781"/>
      <c r="S418" s="781"/>
      <c r="T418" s="781"/>
      <c r="U418" s="781"/>
      <c r="V418" s="842" t="str">
        <f>IF(Demographic="Homeless",IF('Units, Set-Asides, Bldgs'!H$95&gt;=ROUNDUP(Total_Units*B418,0),"Yes","No"),"NA")</f>
        <v>NA</v>
      </c>
      <c r="W418" s="106" t="s">
        <v>1366</v>
      </c>
      <c r="X418" s="106"/>
      <c r="Y418" s="106"/>
      <c r="Z418" s="106"/>
      <c r="AA418" s="106"/>
      <c r="AB418" s="106"/>
      <c r="AC418" s="106"/>
      <c r="AD418" s="106"/>
      <c r="AE418" s="106"/>
      <c r="AF418" s="843"/>
      <c r="AG418" s="843"/>
      <c r="AH418" s="843"/>
      <c r="AI418" s="843"/>
      <c r="AJ418" s="843"/>
      <c r="AK418" s="843"/>
      <c r="AL418" s="843"/>
      <c r="AM418" s="843"/>
      <c r="AN418" s="843"/>
      <c r="AO418" s="843"/>
      <c r="AP418" s="843"/>
      <c r="AQ418" s="843"/>
      <c r="AR418" s="843"/>
      <c r="AS418" s="843"/>
      <c r="AT418" s="843"/>
      <c r="AU418" s="843"/>
      <c r="AV418" s="843"/>
    </row>
    <row r="419" spans="1:48" ht="18" customHeight="1">
      <c r="A419" s="836" t="s">
        <v>1342</v>
      </c>
      <c r="B419" s="767">
        <v>0.4</v>
      </c>
      <c r="C419" s="836"/>
      <c r="D419" s="836"/>
      <c r="E419" s="836"/>
      <c r="F419" s="1565">
        <f>SUM('Units, Set-Asides, Bldgs'!H99:I103)</f>
        <v>0</v>
      </c>
      <c r="G419" s="106" t="str">
        <f>IF(F419=0,"","The maximum 3-bedroom units is "&amp;TEXT(Data1!$B419,"0%")&amp;" of the "&amp;TEXT(Total_Units,"0")&amp;" total units (or "&amp;TEXT(ROUNDUP(Total_Units*Data1!$B419,0),"0")&amp;" units) and the "&amp;TEXT(SUM('Units, Set-Asides, Bldgs'!$H$99:$I$103),"0")&amp;" units entered is "&amp;IF(ROUNDUP(Total_Units*Data1!$B419,0)&lt;SUM('Units, Set-Asides, Bldgs'!$H$99:$I$103),"NOT ","")&amp;"meeting the requirement.")</f>
        <v/>
      </c>
      <c r="H419" s="781"/>
      <c r="I419" s="781"/>
      <c r="J419" s="781"/>
      <c r="K419" s="781"/>
      <c r="L419" s="781"/>
      <c r="M419" s="781"/>
      <c r="N419" s="781"/>
      <c r="O419" s="781"/>
      <c r="P419" s="781"/>
      <c r="Q419" s="781"/>
      <c r="R419" s="781"/>
      <c r="S419" s="781"/>
      <c r="T419" s="781"/>
      <c r="U419" s="781"/>
      <c r="V419" s="842" t="str">
        <f>IF(Demographic="Homeless",IF(SUM('Units, Set-Asides, Bldgs'!H$99:H$103)&lt;=ROUNDUP(Total_Units*B419,0),"Yes","No"),"NA")</f>
        <v>NA</v>
      </c>
      <c r="W419" s="106" t="s">
        <v>1367</v>
      </c>
      <c r="X419" s="106"/>
      <c r="Y419" s="106"/>
      <c r="Z419" s="106"/>
      <c r="AA419" s="106"/>
      <c r="AB419" s="106"/>
      <c r="AC419" s="106"/>
      <c r="AD419" s="106"/>
      <c r="AE419" s="106"/>
      <c r="AF419" s="843"/>
      <c r="AG419" s="843"/>
      <c r="AH419" s="843"/>
      <c r="AI419" s="843"/>
      <c r="AJ419" s="843"/>
      <c r="AK419" s="843"/>
      <c r="AL419" s="843"/>
      <c r="AM419" s="843"/>
      <c r="AN419" s="843"/>
      <c r="AO419" s="843"/>
      <c r="AP419" s="843"/>
      <c r="AQ419" s="843"/>
      <c r="AR419" s="843"/>
      <c r="AS419" s="843"/>
      <c r="AT419" s="843"/>
      <c r="AU419" s="843"/>
      <c r="AV419" s="843"/>
    </row>
    <row r="420" spans="1:48">
      <c r="A420" s="837" t="s">
        <v>1343</v>
      </c>
      <c r="B420" s="777">
        <v>3</v>
      </c>
      <c r="C420" s="838" t="s">
        <v>1352</v>
      </c>
      <c r="D420" s="839"/>
      <c r="E420" s="839"/>
      <c r="F420" s="1566">
        <f>SUM('Units, Set-Asides, Bldgs'!H104:I110)+IF(Data1!B420=2,SUM('Units, Set-Asides, Bldgs'!H99:I103),0)</f>
        <v>0</v>
      </c>
      <c r="G420" s="830" t="str">
        <f>IF(F420=0,"","The maximum number of bedrooms for any unit in a "&amp;Demographic&amp;" development is "&amp;CHOOSE(B420,"INVALID LIMIT","TWO (2)","THREE (3)")&amp;". There should be no entries in this section.")</f>
        <v/>
      </c>
      <c r="H420" s="780"/>
      <c r="I420" s="780"/>
      <c r="J420" s="780"/>
      <c r="K420" s="780"/>
      <c r="L420" s="780"/>
      <c r="M420" s="780"/>
      <c r="N420" s="780"/>
      <c r="O420" s="780"/>
      <c r="P420" s="780"/>
      <c r="Q420" s="780"/>
      <c r="R420" s="780"/>
      <c r="S420" s="780"/>
      <c r="T420" s="780"/>
      <c r="U420" s="780"/>
      <c r="V420" s="840" t="str">
        <f>IF(Demographic="Homeless",IF(IF(B420=2,SUM('Units, Set-Asides, Bldgs'!H$99:H$110),SUM('Units, Set-Asides, Bldgs'!H$104:H$110))=0,"Yes","No"),"NA")</f>
        <v>NA</v>
      </c>
      <c r="W420" s="830" t="str">
        <f>"No units are allowed to have more than "&amp;TEXT(B420,"0")&amp;" bedrooms."</f>
        <v>No units are allowed to have more than 3 bedrooms.</v>
      </c>
      <c r="X420" s="830"/>
      <c r="Y420" s="830"/>
      <c r="Z420" s="830"/>
      <c r="AA420" s="830"/>
      <c r="AB420" s="830"/>
      <c r="AC420" s="830"/>
      <c r="AD420" s="830"/>
      <c r="AE420" s="830"/>
      <c r="AF420" s="843"/>
      <c r="AG420" s="843"/>
      <c r="AH420" s="843"/>
      <c r="AI420" s="843"/>
      <c r="AJ420" s="843"/>
      <c r="AK420" s="843"/>
      <c r="AL420" s="843"/>
      <c r="AM420" s="843"/>
      <c r="AN420" s="843"/>
      <c r="AO420" s="843"/>
      <c r="AP420" s="843"/>
      <c r="AQ420" s="843"/>
      <c r="AR420" s="843"/>
      <c r="AS420" s="843"/>
      <c r="AT420" s="843"/>
      <c r="AU420" s="843"/>
      <c r="AV420" s="843"/>
    </row>
    <row r="421" spans="1:48">
      <c r="A421" s="835" t="s">
        <v>1344</v>
      </c>
      <c r="B421" s="776">
        <v>0.5</v>
      </c>
      <c r="C421" s="835"/>
      <c r="D421" s="835"/>
      <c r="E421" s="835"/>
      <c r="F421" s="1563">
        <f>Zero_Bed_One_Bath_Total_Units</f>
        <v>0</v>
      </c>
      <c r="G421" s="104" t="str">
        <f>IF(F421=0,"","The maximum 0-bedroom units is "&amp;TEXT(Data1!$B421,"0%")&amp;" of the "&amp;TEXT(Total_Units,"0")&amp;" total units (or "&amp;TEXT(ROUNDUP(Total_Units*Data1!$B421,0),"0")&amp;" units) and the "&amp;TEXT('Units, Set-Asides, Bldgs'!$H$94,"0")&amp;" units entered is "&amp;IF(ROUNDUP(Total_Units*Data1!$B421,0)&lt;'Units, Set-Asides, Bldgs'!$H$94,"NOT ","")&amp;"meeting the requirement.")</f>
        <v/>
      </c>
      <c r="H421" s="778"/>
      <c r="I421" s="778"/>
      <c r="J421" s="778"/>
      <c r="K421" s="778"/>
      <c r="L421" s="778"/>
      <c r="M421" s="778"/>
      <c r="N421" s="778"/>
      <c r="O421" s="778"/>
      <c r="P421" s="778"/>
      <c r="Q421" s="778"/>
      <c r="R421" s="778"/>
      <c r="S421" s="778"/>
      <c r="T421" s="778"/>
      <c r="U421" s="778"/>
      <c r="V421" s="803" t="str">
        <f>IF(Demographic="Farmworker/Commercial Fish Worker",IF('Units, Set-Asides, Bldgs'!H$94&lt;=ROUNDUP(Total_Units*B421,0),"Yes","No"),"NA")</f>
        <v>NA</v>
      </c>
      <c r="W421" s="104" t="s">
        <v>1365</v>
      </c>
      <c r="X421" s="104"/>
      <c r="Y421" s="104"/>
      <c r="Z421" s="104"/>
      <c r="AA421" s="104"/>
      <c r="AB421" s="104"/>
      <c r="AC421" s="104"/>
      <c r="AD421" s="104"/>
      <c r="AE421" s="104"/>
      <c r="AF421" s="845" t="str">
        <f>IF(V421="No",W421&amp;" ","")&amp;IF(V422="No",W422&amp;" ","")&amp;IF(V$429="No",W$429,"")</f>
        <v/>
      </c>
      <c r="AG421" s="845"/>
      <c r="AH421" s="845"/>
      <c r="AI421" s="845"/>
      <c r="AJ421" s="845"/>
      <c r="AK421" s="845"/>
      <c r="AL421" s="845"/>
      <c r="AM421" s="845"/>
      <c r="AN421" s="845"/>
      <c r="AO421" s="845"/>
      <c r="AP421" s="845"/>
      <c r="AQ421" s="845"/>
      <c r="AR421" s="845"/>
      <c r="AS421" s="845"/>
      <c r="AT421" s="845"/>
      <c r="AU421" s="845"/>
      <c r="AV421" s="845"/>
    </row>
    <row r="422" spans="1:48">
      <c r="A422" s="837" t="s">
        <v>1345</v>
      </c>
      <c r="B422" s="777">
        <v>2</v>
      </c>
      <c r="C422" s="838" t="s">
        <v>1352</v>
      </c>
      <c r="D422" s="839"/>
      <c r="E422" s="839"/>
      <c r="F422" s="1566">
        <f>SUM('Units, Set-Asides, Bldgs'!H104:I110)+IF(Data1!B422=2,SUM('Units, Set-Asides, Bldgs'!H99:I103),0)</f>
        <v>0</v>
      </c>
      <c r="G422" s="830" t="str">
        <f>IF(F422=0,"","The maximum number of bedrooms for any unit in a "&amp;Demographic&amp;" development is "&amp;CHOOSE(B422,"INVALID LIMIT","TWO (2)","THREE (3)")&amp;". There should be no entries in this section.")</f>
        <v/>
      </c>
      <c r="H422" s="780"/>
      <c r="I422" s="780"/>
      <c r="J422" s="780"/>
      <c r="K422" s="780"/>
      <c r="L422" s="780"/>
      <c r="M422" s="780"/>
      <c r="N422" s="780"/>
      <c r="O422" s="780"/>
      <c r="P422" s="780"/>
      <c r="Q422" s="780"/>
      <c r="R422" s="780"/>
      <c r="S422" s="780"/>
      <c r="T422" s="780"/>
      <c r="U422" s="780"/>
      <c r="V422" s="840" t="str">
        <f>IF(Demographic="Farmworker/Commercial Fish Worker",IF(IF(B422=2,SUM('Units, Set-Asides, Bldgs'!H$99:H$110),SUM('Units, Set-Asides, Bldgs'!H$104:H$110))=0,"Yes","No"),"NA")</f>
        <v>NA</v>
      </c>
      <c r="W422" s="830" t="str">
        <f>"No units are allowed to have more than "&amp;TEXT(B422,"0")&amp;" bedrooms."</f>
        <v>No units are allowed to have more than 2 bedrooms.</v>
      </c>
      <c r="X422" s="830"/>
      <c r="Y422" s="830"/>
      <c r="Z422" s="830"/>
      <c r="AA422" s="830"/>
      <c r="AB422" s="830"/>
      <c r="AC422" s="830"/>
      <c r="AD422" s="830"/>
      <c r="AE422" s="830"/>
      <c r="AF422" s="843"/>
      <c r="AG422" s="843"/>
      <c r="AH422" s="843"/>
      <c r="AI422" s="843"/>
      <c r="AJ422" s="843"/>
      <c r="AK422" s="843"/>
      <c r="AL422" s="843"/>
      <c r="AM422" s="843"/>
      <c r="AN422" s="843"/>
      <c r="AO422" s="843"/>
      <c r="AP422" s="843"/>
      <c r="AQ422" s="843"/>
      <c r="AR422" s="843"/>
      <c r="AS422" s="843"/>
      <c r="AT422" s="843"/>
      <c r="AU422" s="843"/>
      <c r="AV422" s="843"/>
    </row>
    <row r="423" spans="1:48">
      <c r="A423" s="835" t="s">
        <v>1346</v>
      </c>
      <c r="B423" s="776">
        <v>0.5</v>
      </c>
      <c r="C423" s="835"/>
      <c r="D423" s="835"/>
      <c r="E423" s="835"/>
      <c r="F423" s="1563">
        <f>Zero_Bed_One_Bath_Total_Units</f>
        <v>0</v>
      </c>
      <c r="G423" s="104" t="str">
        <f>IF(F423=0,"","The maximum 0-bedroom units is "&amp;TEXT(Data1!$B423,"0%")&amp;" of the "&amp;TEXT(Total_Units,"0")&amp;" total units (or "&amp;TEXT(ROUNDUP(Total_Units*Data1!$B423,0),"0")&amp;" units) and the "&amp;TEXT('Units, Set-Asides, Bldgs'!$H$94,"0")&amp;" units entered is "&amp;IF(ROUNDUP(Total_Units*Data1!$B423,0)&lt;'Units, Set-Asides, Bldgs'!$H$94,"NOT ","")&amp;"meeting the requirement.")</f>
        <v/>
      </c>
      <c r="H423" s="778"/>
      <c r="I423" s="778"/>
      <c r="J423" s="778"/>
      <c r="K423" s="778"/>
      <c r="L423" s="778"/>
      <c r="M423" s="778"/>
      <c r="N423" s="778"/>
      <c r="O423" s="778"/>
      <c r="P423" s="778"/>
      <c r="Q423" s="778"/>
      <c r="R423" s="778"/>
      <c r="S423" s="778"/>
      <c r="T423" s="778"/>
      <c r="U423" s="778"/>
      <c r="V423" s="803" t="str">
        <f>IF(OR(Demographic="Persons with a Disabiling Condition",Demographic="Persons with Developmental Disabilities"),IF('Units, Set-Asides, Bldgs'!H$94&lt;=ROUNDUP(Total_Units*B423,0),"Yes","No"),"NA")</f>
        <v>NA</v>
      </c>
      <c r="W423" s="104" t="s">
        <v>1365</v>
      </c>
      <c r="X423" s="104"/>
      <c r="Y423" s="104"/>
      <c r="Z423" s="104"/>
      <c r="AA423" s="104"/>
      <c r="AB423" s="104"/>
      <c r="AC423" s="104"/>
      <c r="AD423" s="104"/>
      <c r="AE423" s="104"/>
      <c r="AF423" s="845" t="str">
        <f>IF(V423="No",W423&amp;" ","")&amp;IF(V424="No",W424&amp;" ","")&amp;IF(V425="No",W425&amp;" ","")&amp;IF(V$429="No",W$429,"")</f>
        <v/>
      </c>
      <c r="AG423" s="845"/>
      <c r="AH423" s="845"/>
      <c r="AI423" s="845"/>
      <c r="AJ423" s="845"/>
      <c r="AK423" s="845"/>
      <c r="AL423" s="845"/>
      <c r="AM423" s="845"/>
      <c r="AN423" s="845"/>
      <c r="AO423" s="845"/>
      <c r="AP423" s="845"/>
      <c r="AQ423" s="845"/>
      <c r="AR423" s="845"/>
      <c r="AS423" s="845"/>
      <c r="AT423" s="845"/>
      <c r="AU423" s="845"/>
      <c r="AV423" s="845"/>
    </row>
    <row r="424" spans="1:48">
      <c r="A424" s="836" t="s">
        <v>1347</v>
      </c>
      <c r="B424" s="767">
        <v>0.5</v>
      </c>
      <c r="C424" s="836"/>
      <c r="D424" s="836"/>
      <c r="E424" s="836"/>
      <c r="F424" s="1564">
        <f>One_Bed_One_Bath_Total_Units</f>
        <v>0</v>
      </c>
      <c r="G424" s="106" t="str">
        <f>IF(AND(F424=0,'Units, Set-Asides, Bldgs'!H111=0),"","The minimum 1 bedroom units is "&amp;TEXT(Data1!$B424,"0%")&amp;" of the "&amp;TEXT(Total_Units,"0")&amp;" total units (or "&amp;TEXT(ROUNDUP(Total_Units*Data1!$B424,0),"0")&amp;" units) and the "&amp;TEXT('Units, Set-Asides, Bldgs'!$H$95,"0")&amp;" units entered is "&amp;IF(ROUNDUP(Total_Units*Data1!$B424,0)&gt;'Units, Set-Asides, Bldgs'!$H$95,"NOT ","")&amp;"meeting the requirement.")</f>
        <v/>
      </c>
      <c r="H424" s="781"/>
      <c r="I424" s="781"/>
      <c r="J424" s="781"/>
      <c r="K424" s="781"/>
      <c r="L424" s="781"/>
      <c r="M424" s="781"/>
      <c r="N424" s="781"/>
      <c r="O424" s="781"/>
      <c r="P424" s="781"/>
      <c r="Q424" s="781"/>
      <c r="R424" s="781"/>
      <c r="S424" s="781"/>
      <c r="T424" s="781"/>
      <c r="U424" s="781"/>
      <c r="V424" s="842" t="str">
        <f>IF(OR(Demographic="Persons with a Disabiling Condition",Demographic="Persons with Developmental Disabilities"),IF('Units, Set-Asides, Bldgs'!H$95&gt;=ROUNDUP(Total_Units*B424,0),"Yes","No"),"NA")</f>
        <v>NA</v>
      </c>
      <c r="W424" s="106" t="s">
        <v>1366</v>
      </c>
      <c r="X424" s="106"/>
      <c r="Y424" s="106"/>
      <c r="Z424" s="106"/>
      <c r="AA424" s="106"/>
      <c r="AB424" s="106"/>
      <c r="AC424" s="106"/>
      <c r="AD424" s="106"/>
      <c r="AE424" s="106"/>
      <c r="AF424" s="843"/>
      <c r="AG424" s="843"/>
      <c r="AH424" s="843"/>
      <c r="AI424" s="843"/>
      <c r="AJ424" s="843"/>
      <c r="AK424" s="843"/>
      <c r="AL424" s="843"/>
      <c r="AM424" s="843"/>
      <c r="AN424" s="843"/>
      <c r="AO424" s="843"/>
      <c r="AP424" s="843"/>
      <c r="AQ424" s="843"/>
      <c r="AR424" s="843"/>
      <c r="AS424" s="843"/>
      <c r="AT424" s="843"/>
      <c r="AU424" s="843"/>
      <c r="AV424" s="843"/>
    </row>
    <row r="425" spans="1:48">
      <c r="A425" s="837" t="s">
        <v>1348</v>
      </c>
      <c r="B425" s="777">
        <v>2</v>
      </c>
      <c r="C425" s="838" t="s">
        <v>1352</v>
      </c>
      <c r="D425" s="839"/>
      <c r="E425" s="839"/>
      <c r="F425" s="1566">
        <f>SUM('Units, Set-Asides, Bldgs'!H104:I110)+IF(Data1!B425=2,SUM('Units, Set-Asides, Bldgs'!H99:I103),0)</f>
        <v>0</v>
      </c>
      <c r="G425" s="830" t="str">
        <f>IF(F425=0,"","The maximum number of bedrooms for any unit in a "&amp;Demographic&amp;" development is "&amp;CHOOSE(B425,"INVALID LIMIT","TWO (2)","THREE (3)")&amp;". There should be no entries in this section.")</f>
        <v/>
      </c>
      <c r="H425" s="780"/>
      <c r="I425" s="780"/>
      <c r="J425" s="780"/>
      <c r="K425" s="780"/>
      <c r="L425" s="780"/>
      <c r="M425" s="780"/>
      <c r="N425" s="780"/>
      <c r="O425" s="780"/>
      <c r="P425" s="780"/>
      <c r="Q425" s="780"/>
      <c r="R425" s="780"/>
      <c r="S425" s="780"/>
      <c r="T425" s="780"/>
      <c r="U425" s="780"/>
      <c r="V425" s="840" t="str">
        <f>IF(OR(Demographic="Persons with a Disabiling Condition",Demographic="Persons with Developmental Disabilities"),IF(IF(B425=2,SUM('Units, Set-Asides, Bldgs'!H$99:H$110),SUM('Units, Set-Asides, Bldgs'!H$104:H$110))=0,"Yes","No"),"NA")</f>
        <v>NA</v>
      </c>
      <c r="W425" s="830" t="str">
        <f>"No units are allowed to have more than "&amp;TEXT(B425,"0")&amp;" bedrooms."</f>
        <v>No units are allowed to have more than 2 bedrooms.</v>
      </c>
      <c r="X425" s="830"/>
      <c r="Y425" s="830"/>
      <c r="Z425" s="830"/>
      <c r="AA425" s="830"/>
      <c r="AB425" s="830"/>
      <c r="AC425" s="830"/>
      <c r="AD425" s="830"/>
      <c r="AE425" s="830"/>
      <c r="AF425" s="843"/>
      <c r="AG425" s="843"/>
      <c r="AH425" s="843"/>
      <c r="AI425" s="843"/>
      <c r="AJ425" s="843"/>
      <c r="AK425" s="843"/>
      <c r="AL425" s="843"/>
      <c r="AM425" s="843"/>
      <c r="AN425" s="843"/>
      <c r="AO425" s="843"/>
      <c r="AP425" s="843"/>
      <c r="AQ425" s="843"/>
      <c r="AR425" s="843"/>
      <c r="AS425" s="843"/>
      <c r="AT425" s="843"/>
      <c r="AU425" s="843"/>
      <c r="AV425" s="843"/>
    </row>
    <row r="426" spans="1:48">
      <c r="A426" s="835" t="s">
        <v>1349</v>
      </c>
      <c r="B426" s="776">
        <v>0.3</v>
      </c>
      <c r="C426" s="835"/>
      <c r="D426" s="835"/>
      <c r="E426" s="835"/>
      <c r="F426" s="1557">
        <f>SUM('Units, Set-Asides, Bldgs'!H94:I95)</f>
        <v>0</v>
      </c>
      <c r="G426" s="104" t="str">
        <f>IF(AND(F426=0,'Units, Set-Asides, Bldgs'!H111=0),"","The minimum 0 and 1 bedroom units is "&amp;TEXT(Data1!$B426,"0%")&amp;" of the "&amp;TEXT(Total_Units,"0")&amp;" total units (or "&amp;TEXT(ROUNDUP(Total_Units*Data1!$B426,0),"0")&amp;" units) and the combined "&amp;TEXT('Units, Set-Asides, Bldgs'!$H$94+'Units, Set-Asides, Bldgs'!$H$95,"0")&amp;" units entered is "&amp;IF(ROUNDUP(Total_Units*Data1!$B426,0)&gt;'Units, Set-Asides, Bldgs'!$H$94+'Units, Set-Asides, Bldgs'!$H$95,"NOT ","")&amp;"meeting the requirement.")</f>
        <v/>
      </c>
      <c r="H426" s="778"/>
      <c r="I426" s="778"/>
      <c r="J426" s="778"/>
      <c r="K426" s="778"/>
      <c r="L426" s="778"/>
      <c r="M426" s="778"/>
      <c r="N426" s="778"/>
      <c r="O426" s="778"/>
      <c r="P426" s="778"/>
      <c r="Q426" s="778"/>
      <c r="R426" s="778"/>
      <c r="S426" s="778"/>
      <c r="T426" s="778"/>
      <c r="U426" s="778"/>
      <c r="V426" s="803" t="str">
        <f>IF(Demographic="Persons with Special Needs",IF(SUM('Units, Set-Asides, Bldgs'!H$94:H$95)&gt;=ROUNDUP(Total_Units*B426,0),"Yes","No"),"NA")</f>
        <v>Yes</v>
      </c>
      <c r="W426" s="104" t="s">
        <v>1364</v>
      </c>
      <c r="X426" s="104"/>
      <c r="Y426" s="104"/>
      <c r="Z426" s="104"/>
      <c r="AA426" s="104"/>
      <c r="AB426" s="104"/>
      <c r="AC426" s="104"/>
      <c r="AD426" s="104"/>
      <c r="AE426" s="104"/>
      <c r="AF426" s="845" t="str">
        <f>IF(V426="No",W426&amp;" ","")&amp;IF(V427="No",W427&amp;" ","")&amp;IF(V428="No",W428&amp;" ","")&amp;IF(V$429="No",W$429,"")</f>
        <v/>
      </c>
      <c r="AG426" s="845"/>
      <c r="AH426" s="845"/>
      <c r="AI426" s="845"/>
      <c r="AJ426" s="845"/>
      <c r="AK426" s="845"/>
      <c r="AL426" s="845"/>
      <c r="AM426" s="845"/>
      <c r="AN426" s="845"/>
      <c r="AO426" s="845"/>
      <c r="AP426" s="845"/>
      <c r="AQ426" s="845"/>
      <c r="AR426" s="845"/>
      <c r="AS426" s="845"/>
      <c r="AT426" s="845"/>
      <c r="AU426" s="845"/>
      <c r="AV426" s="845"/>
    </row>
    <row r="427" spans="1:48">
      <c r="A427" s="836" t="s">
        <v>1350</v>
      </c>
      <c r="B427" s="767">
        <v>0.25</v>
      </c>
      <c r="C427" s="836"/>
      <c r="D427" s="836"/>
      <c r="E427" s="836"/>
      <c r="F427" s="1565">
        <f>SUM('Units, Set-Asides, Bldgs'!H99:I103)</f>
        <v>0</v>
      </c>
      <c r="G427" s="106" t="str">
        <f>IF(F427=0,"","The maximum number of 3-bedroom units is "&amp;TEXT(Data1!$B427,"0%")&amp;" of the "&amp;TEXT(Total_Units,"0")&amp;" total units (or "&amp;TEXT(ROUNDUP(Total_Units*Data1!$B427,0),"0")&amp;" units) and the "&amp;TEXT(SUM('Units, Set-Asides, Bldgs'!$H$99:$I$103),"0")&amp;" units entered is "&amp;IF(ROUNDUP(Total_Units*Data1!$B427,0)&lt;SUM('Units, Set-Asides, Bldgs'!$H$99:$I$103),"NOT ","")&amp;"meeting the requirement.")</f>
        <v/>
      </c>
      <c r="H427" s="781"/>
      <c r="I427" s="781"/>
      <c r="J427" s="781"/>
      <c r="K427" s="781"/>
      <c r="L427" s="781"/>
      <c r="M427" s="781"/>
      <c r="N427" s="781"/>
      <c r="O427" s="781"/>
      <c r="P427" s="781"/>
      <c r="Q427" s="781"/>
      <c r="R427" s="781"/>
      <c r="S427" s="781"/>
      <c r="T427" s="781"/>
      <c r="U427" s="781"/>
      <c r="V427" s="842" t="str">
        <f>IF(Demographic="Persons with Special Needs",IF(SUM('Units, Set-Asides, Bldgs'!H$99:H$103)&lt;=ROUNDUP(Total_Units*B427,0),"Yes","No"),"NA")</f>
        <v>Yes</v>
      </c>
      <c r="W427" s="106" t="s">
        <v>1367</v>
      </c>
      <c r="X427" s="106"/>
      <c r="Y427" s="106"/>
      <c r="Z427" s="106"/>
      <c r="AA427" s="106"/>
      <c r="AB427" s="106"/>
      <c r="AC427" s="106"/>
      <c r="AD427" s="106"/>
      <c r="AE427" s="106"/>
      <c r="AF427" s="843"/>
      <c r="AG427" s="843"/>
      <c r="AH427" s="843"/>
      <c r="AI427" s="843"/>
      <c r="AJ427" s="843"/>
      <c r="AK427" s="843"/>
      <c r="AL427" s="843"/>
      <c r="AM427" s="843"/>
      <c r="AN427" s="843"/>
      <c r="AO427" s="843"/>
      <c r="AP427" s="843"/>
      <c r="AQ427" s="843"/>
      <c r="AR427" s="843"/>
      <c r="AS427" s="843"/>
      <c r="AT427" s="843"/>
      <c r="AU427" s="843"/>
      <c r="AV427" s="843"/>
    </row>
    <row r="428" spans="1:48">
      <c r="A428" s="837" t="s">
        <v>1351</v>
      </c>
      <c r="B428" s="777">
        <v>3</v>
      </c>
      <c r="C428" s="838" t="s">
        <v>1352</v>
      </c>
      <c r="D428" s="839"/>
      <c r="E428" s="839"/>
      <c r="F428" s="1566">
        <f>SUM('Units, Set-Asides, Bldgs'!H104:I110)+IF(Data1!B428=2,SUM('Units, Set-Asides, Bldgs'!H99:I103),0)</f>
        <v>0</v>
      </c>
      <c r="G428" s="830" t="str">
        <f>IF(F428=0,"","The maximum number of bedrooms for any unit in a "&amp;Demographic&amp;" development is "&amp;CHOOSE(B428,"INVALID LIMIT","TWO (2)","THREE (3)")&amp;". There should be no entries in this section.")</f>
        <v/>
      </c>
      <c r="H428" s="780"/>
      <c r="I428" s="780"/>
      <c r="J428" s="780"/>
      <c r="K428" s="780"/>
      <c r="L428" s="780"/>
      <c r="M428" s="780"/>
      <c r="N428" s="780"/>
      <c r="O428" s="780"/>
      <c r="P428" s="780"/>
      <c r="Q428" s="780"/>
      <c r="R428" s="780"/>
      <c r="S428" s="780"/>
      <c r="T428" s="780"/>
      <c r="U428" s="780"/>
      <c r="V428" s="840" t="str">
        <f>IF(Demographic="Persons with Special Needs",IF(IF(B428=2,SUM('Units, Set-Asides, Bldgs'!H$99:H$110),SUM('Units, Set-Asides, Bldgs'!H$104:H$110))=0,"Yes","No"),"NA")</f>
        <v>Yes</v>
      </c>
      <c r="W428" s="830" t="str">
        <f>"No units are allowed to have more than "&amp;TEXT(B428,"0")&amp;" bedrooms."</f>
        <v>No units are allowed to have more than 3 bedrooms.</v>
      </c>
      <c r="X428" s="830"/>
      <c r="Y428" s="830"/>
      <c r="Z428" s="830"/>
      <c r="AA428" s="830"/>
      <c r="AB428" s="830"/>
      <c r="AC428" s="830"/>
      <c r="AD428" s="830"/>
      <c r="AE428" s="830"/>
      <c r="AF428" s="843"/>
      <c r="AG428" s="843"/>
      <c r="AH428" s="843"/>
      <c r="AI428" s="843"/>
      <c r="AJ428" s="843"/>
      <c r="AK428" s="843"/>
      <c r="AL428" s="843"/>
      <c r="AM428" s="843"/>
      <c r="AN428" s="843"/>
      <c r="AO428" s="843"/>
      <c r="AP428" s="843"/>
      <c r="AQ428" s="843"/>
      <c r="AR428" s="843"/>
      <c r="AS428" s="843"/>
      <c r="AT428" s="843"/>
      <c r="AU428" s="843"/>
      <c r="AV428" s="843"/>
    </row>
    <row r="429" spans="1:48">
      <c r="A429" s="848"/>
      <c r="B429" s="849"/>
      <c r="C429" s="850"/>
      <c r="D429" s="109"/>
      <c r="E429" s="109"/>
      <c r="F429" s="109"/>
      <c r="G429" s="802"/>
      <c r="H429" s="766"/>
      <c r="I429" s="766"/>
      <c r="J429" s="766"/>
      <c r="K429" s="766"/>
      <c r="L429" s="766"/>
      <c r="M429" s="766"/>
      <c r="N429" s="766"/>
      <c r="O429" s="766"/>
      <c r="P429" s="766"/>
      <c r="Q429" s="766"/>
      <c r="R429" s="766"/>
      <c r="S429" s="766"/>
      <c r="T429" s="766"/>
      <c r="U429" s="766"/>
      <c r="V429" s="806" t="str">
        <f>IF('Units, Set-Asides, Bldgs'!H$111&lt;&gt;Total_Units,"No","Yes")</f>
        <v>Yes</v>
      </c>
      <c r="W429" s="684" t="s">
        <v>1368</v>
      </c>
      <c r="X429" s="684"/>
      <c r="Y429" s="684"/>
      <c r="Z429" s="684"/>
      <c r="AA429" s="684"/>
      <c r="AB429" s="684"/>
      <c r="AC429" s="684"/>
      <c r="AD429" s="684"/>
      <c r="AE429" s="684"/>
      <c r="AF429" s="843"/>
      <c r="AG429" s="843"/>
      <c r="AH429" s="843"/>
      <c r="AI429" s="843"/>
      <c r="AJ429" s="843"/>
      <c r="AK429" s="843"/>
      <c r="AL429" s="843"/>
      <c r="AM429" s="843"/>
      <c r="AN429" s="843"/>
      <c r="AO429" s="843"/>
      <c r="AP429" s="843"/>
      <c r="AQ429" s="843"/>
      <c r="AR429" s="843"/>
      <c r="AS429" s="843"/>
      <c r="AT429" s="843"/>
      <c r="AU429" s="843"/>
      <c r="AV429" s="843"/>
    </row>
    <row r="431" spans="1:48" ht="18" customHeight="1">
      <c r="A431" s="1257" t="s">
        <v>580</v>
      </c>
      <c r="B431" s="1258" t="s">
        <v>4</v>
      </c>
      <c r="C431" s="1258" t="s">
        <v>5</v>
      </c>
      <c r="D431" s="1258" t="s">
        <v>6</v>
      </c>
      <c r="E431" s="1074" t="s">
        <v>1238</v>
      </c>
      <c r="F431" s="111" t="s">
        <v>2</v>
      </c>
    </row>
    <row r="432" spans="1:48">
      <c r="A432" s="104" t="s">
        <v>131</v>
      </c>
      <c r="B432" s="102">
        <v>1</v>
      </c>
      <c r="C432" s="105">
        <f>IF(B432&lt;&gt;1,"",SUM(B$432:B432))</f>
        <v>1</v>
      </c>
      <c r="D432" s="102">
        <v>1</v>
      </c>
      <c r="F432" s="165" t="str">
        <f>IF(COUNTA($A$432:$A432)&lt;=MAX(DS_Green_Sequence)=TRUE,LOOKUP(COUNTA($A$432:$A432),DS_Green_Sequence,DS_Green_DataNames),"")</f>
        <v>Leadership in Energy and Envirnomental Design (LEED)</v>
      </c>
    </row>
    <row r="433" spans="1:6">
      <c r="A433" s="104" t="s">
        <v>132</v>
      </c>
      <c r="B433" s="102">
        <v>1</v>
      </c>
      <c r="C433" s="105">
        <f>IF(B433&lt;&gt;1,"",SUM(B$432:B433))</f>
        <v>2</v>
      </c>
      <c r="D433" s="102">
        <v>2</v>
      </c>
      <c r="F433" s="165" t="str">
        <f>IF(COUNTA($A$432:$A433)&lt;=MAX(DS_Green_Sequence)=TRUE,LOOKUP(COUNTA($A$432:$A433),DS_Green_Sequence,DS_Green_DataNames),"")</f>
        <v>Florida Green Building Coalition (FGBC)</v>
      </c>
    </row>
    <row r="434" spans="1:6">
      <c r="A434" s="104" t="s">
        <v>133</v>
      </c>
      <c r="B434" s="102">
        <v>1</v>
      </c>
      <c r="C434" s="105">
        <f>IF(B434&lt;&gt;1,"",SUM(B$432:B434))</f>
        <v>3</v>
      </c>
      <c r="D434" s="102">
        <v>3</v>
      </c>
      <c r="F434" s="165" t="str">
        <f>IF(COUNTA($A$432:$A434)&lt;=MAX(DS_Green_Sequence)=TRUE,LOOKUP(COUNTA($A$432:$A434),DS_Green_Sequence,DS_Green_DataNames),"")</f>
        <v>Enterprise Green Communities</v>
      </c>
    </row>
    <row r="435" spans="1:6">
      <c r="A435" s="104" t="s">
        <v>134</v>
      </c>
      <c r="B435" s="102">
        <v>1</v>
      </c>
      <c r="C435" s="105">
        <f>IF(B435&lt;&gt;1,"",SUM(B$432:B435))</f>
        <v>4</v>
      </c>
      <c r="D435" s="102">
        <v>4</v>
      </c>
      <c r="F435" s="165" t="str">
        <f>IF(COUNTA($A$432:$A435)&lt;=MAX(DS_Green_Sequence)=TRUE,LOOKUP(COUNTA($A$432:$A435),DS_Green_Sequence,DS_Green_DataNames),"")</f>
        <v>ICC 700 National Green building Standard (NGBS)</v>
      </c>
    </row>
    <row r="437" spans="1:6">
      <c r="A437" s="1257" t="s">
        <v>2082</v>
      </c>
      <c r="E437" s="1074" t="s">
        <v>2065</v>
      </c>
    </row>
    <row r="438" spans="1:6">
      <c r="A438" s="871" t="s">
        <v>2038</v>
      </c>
    </row>
    <row r="439" spans="1:6">
      <c r="A439" s="1550" t="s">
        <v>2039</v>
      </c>
      <c r="B439" s="1551" t="b">
        <v>0</v>
      </c>
    </row>
    <row r="440" spans="1:6">
      <c r="A440" s="1552" t="s">
        <v>2040</v>
      </c>
      <c r="B440" s="1553" t="b">
        <v>0</v>
      </c>
    </row>
    <row r="441" spans="1:6">
      <c r="A441" s="1552" t="s">
        <v>2041</v>
      </c>
      <c r="B441" s="1553" t="b">
        <v>0</v>
      </c>
    </row>
    <row r="442" spans="1:6">
      <c r="A442" s="1552" t="s">
        <v>2042</v>
      </c>
      <c r="B442" s="1553" t="b">
        <v>0</v>
      </c>
    </row>
    <row r="443" spans="1:6">
      <c r="A443" s="1552" t="s">
        <v>2043</v>
      </c>
      <c r="B443" s="1553" t="b">
        <v>0</v>
      </c>
    </row>
    <row r="444" spans="1:6">
      <c r="A444" s="1552" t="s">
        <v>2044</v>
      </c>
      <c r="B444" s="1553" t="b">
        <v>0</v>
      </c>
    </row>
    <row r="445" spans="1:6">
      <c r="A445" s="1552" t="s">
        <v>2045</v>
      </c>
      <c r="B445" s="1553" t="b">
        <v>0</v>
      </c>
    </row>
    <row r="446" spans="1:6">
      <c r="A446" s="1552" t="s">
        <v>2046</v>
      </c>
      <c r="B446" s="1553" t="b">
        <v>0</v>
      </c>
    </row>
    <row r="447" spans="1:6">
      <c r="A447" s="1552" t="s">
        <v>2047</v>
      </c>
      <c r="B447" s="1553" t="b">
        <v>0</v>
      </c>
    </row>
    <row r="448" spans="1:6">
      <c r="A448" s="1552" t="s">
        <v>2048</v>
      </c>
      <c r="B448" s="1553" t="b">
        <v>0</v>
      </c>
    </row>
    <row r="449" spans="1:6">
      <c r="A449" t="s">
        <v>2049</v>
      </c>
      <c r="B449" s="1523"/>
    </row>
    <row r="450" spans="1:6">
      <c r="A450" t="s">
        <v>2049</v>
      </c>
      <c r="B450" s="1523"/>
    </row>
    <row r="451" spans="1:6">
      <c r="A451" t="s">
        <v>2049</v>
      </c>
      <c r="B451" s="1523"/>
    </row>
    <row r="452" spans="1:6">
      <c r="A452" t="s">
        <v>2049</v>
      </c>
      <c r="B452" s="1523"/>
    </row>
    <row r="453" spans="1:6">
      <c r="A453" s="1550" t="s">
        <v>2050</v>
      </c>
      <c r="B453" s="1551" t="b">
        <v>0</v>
      </c>
    </row>
    <row r="454" spans="1:6">
      <c r="A454" s="1554" t="s">
        <v>2051</v>
      </c>
      <c r="B454" s="1555" t="b">
        <v>0</v>
      </c>
    </row>
    <row r="456" spans="1:6">
      <c r="A456" s="1257" t="s">
        <v>2086</v>
      </c>
      <c r="E456" s="1074" t="s">
        <v>2066</v>
      </c>
    </row>
    <row r="457" spans="1:6">
      <c r="A457" s="1550" t="s">
        <v>2087</v>
      </c>
      <c r="B457" s="1652" t="b">
        <v>0</v>
      </c>
    </row>
    <row r="458" spans="1:6">
      <c r="A458" s="1554" t="s">
        <v>2088</v>
      </c>
      <c r="B458" s="1653" t="b">
        <v>0</v>
      </c>
    </row>
    <row r="460" spans="1:6">
      <c r="A460" s="1257" t="s">
        <v>2083</v>
      </c>
      <c r="E460" s="1074" t="s">
        <v>2066</v>
      </c>
    </row>
    <row r="461" spans="1:6">
      <c r="A461" s="871" t="s">
        <v>2052</v>
      </c>
      <c r="B461" s="1523"/>
      <c r="F461" t="s">
        <v>2084</v>
      </c>
    </row>
    <row r="462" spans="1:6">
      <c r="A462" s="1550" t="s">
        <v>2053</v>
      </c>
      <c r="B462" s="1654" t="b">
        <v>0</v>
      </c>
    </row>
    <row r="463" spans="1:6">
      <c r="A463" s="1552" t="s">
        <v>2054</v>
      </c>
      <c r="B463" s="1655" t="b">
        <v>0</v>
      </c>
    </row>
    <row r="464" spans="1:6">
      <c r="A464" s="1552" t="s">
        <v>2055</v>
      </c>
      <c r="B464" s="1655" t="b">
        <v>0</v>
      </c>
    </row>
    <row r="465" spans="1:6">
      <c r="A465" s="1552" t="s">
        <v>2056</v>
      </c>
      <c r="B465" s="1655" t="b">
        <v>0</v>
      </c>
    </row>
    <row r="466" spans="1:6">
      <c r="A466" s="1552" t="s">
        <v>2057</v>
      </c>
      <c r="B466" s="1655" t="b">
        <v>0</v>
      </c>
    </row>
    <row r="467" spans="1:6">
      <c r="A467" s="1554" t="s">
        <v>2058</v>
      </c>
      <c r="B467" s="1656" t="b">
        <v>0</v>
      </c>
    </row>
    <row r="468" spans="1:6">
      <c r="A468" s="1546" t="s">
        <v>2059</v>
      </c>
      <c r="B468" s="1523"/>
      <c r="F468" t="s">
        <v>2085</v>
      </c>
    </row>
    <row r="469" spans="1:6">
      <c r="A469" s="1550" t="s">
        <v>2060</v>
      </c>
      <c r="B469" s="1654" t="b">
        <v>0</v>
      </c>
    </row>
    <row r="470" spans="1:6">
      <c r="A470" s="1552" t="s">
        <v>2061</v>
      </c>
      <c r="B470" s="1655" t="b">
        <v>0</v>
      </c>
    </row>
    <row r="471" spans="1:6">
      <c r="A471" s="1552" t="s">
        <v>2062</v>
      </c>
      <c r="B471" s="1655" t="b">
        <v>0</v>
      </c>
    </row>
    <row r="472" spans="1:6">
      <c r="A472" s="1552" t="s">
        <v>2063</v>
      </c>
      <c r="B472" s="1655" t="b">
        <v>0</v>
      </c>
    </row>
    <row r="473" spans="1:6">
      <c r="A473" s="1554" t="s">
        <v>2064</v>
      </c>
      <c r="B473" s="1656" t="b">
        <v>0</v>
      </c>
    </row>
    <row r="475" spans="1:6">
      <c r="A475" s="1257" t="s">
        <v>2031</v>
      </c>
      <c r="E475" s="1262" t="str">
        <f>"4.A.10.a."</f>
        <v>4.A.10.a.</v>
      </c>
    </row>
    <row r="476" spans="1:6">
      <c r="A476" s="757" t="s">
        <v>2032</v>
      </c>
      <c r="B476" s="471"/>
      <c r="C476" s="471"/>
      <c r="D476" s="471"/>
      <c r="E476" s="471"/>
      <c r="F476" s="466">
        <v>0</v>
      </c>
    </row>
    <row r="477" spans="1:6">
      <c r="A477" s="794" t="s">
        <v>2033</v>
      </c>
      <c r="B477" s="759"/>
      <c r="C477" s="759"/>
      <c r="D477" s="759"/>
      <c r="E477" s="759"/>
      <c r="F477" s="466">
        <v>20000000</v>
      </c>
    </row>
    <row r="479" spans="1:6">
      <c r="A479" s="1257" t="s">
        <v>2089</v>
      </c>
      <c r="E479" s="1074" t="str">
        <f>"4.A.10.b."</f>
        <v>4.A.10.b.</v>
      </c>
    </row>
    <row r="480" spans="1:6">
      <c r="A480" s="471" t="s">
        <v>568</v>
      </c>
      <c r="B480" s="1657" t="b">
        <v>0</v>
      </c>
    </row>
    <row r="481" spans="1:7">
      <c r="A481" s="759" t="s">
        <v>569</v>
      </c>
      <c r="B481" s="1658" t="b">
        <v>0</v>
      </c>
    </row>
    <row r="483" spans="1:7" ht="18" customHeight="1">
      <c r="A483" s="1257" t="s">
        <v>1299</v>
      </c>
      <c r="B483" s="108"/>
      <c r="C483" s="108"/>
      <c r="D483" s="108"/>
      <c r="E483" s="1262" t="str">
        <f>"4.A.10."&amp;Funding!A218&amp;"."</f>
        <v>4.A.10.d.</v>
      </c>
      <c r="F483" s="111" t="s">
        <v>2</v>
      </c>
    </row>
    <row r="484" spans="1:7">
      <c r="A484" s="757" t="s">
        <v>1301</v>
      </c>
      <c r="B484" s="1768">
        <v>0.03</v>
      </c>
      <c r="C484" s="1768"/>
      <c r="D484" s="1768"/>
      <c r="F484" s="165" t="s">
        <v>437</v>
      </c>
      <c r="G484" t="s">
        <v>1535</v>
      </c>
    </row>
    <row r="485" spans="1:7">
      <c r="A485" s="759" t="s">
        <v>1306</v>
      </c>
      <c r="B485" s="1769" t="s">
        <v>1741</v>
      </c>
      <c r="C485" s="1769"/>
      <c r="D485" s="1769"/>
      <c r="E485" s="1243">
        <f>IF(DS_Qualifying_FAFP_Basis="SAIL",1,IF(DS_Qualifying_FAFP_Basis="SAIL/Grant",2,IF(DS_Qualifying_FAFP_Basis="Grant",4,IF(DS_Qualifying_FAFP_Basis="HOME-ARP",4,IF(DS_Qualifying_FAFP_Basis="SAIL/HOME-ARP",5,6)))))</f>
        <v>5</v>
      </c>
      <c r="F485" s="165" t="s">
        <v>1307</v>
      </c>
      <c r="G485" s="1059" t="s">
        <v>1732</v>
      </c>
    </row>
    <row r="486" spans="1:7">
      <c r="A486" s="221"/>
      <c r="B486" s="1060"/>
      <c r="C486" s="1060"/>
      <c r="D486" s="1060"/>
      <c r="E486" s="1243"/>
      <c r="F486" s="165" t="s">
        <v>966</v>
      </c>
      <c r="G486" s="1059"/>
    </row>
    <row r="487" spans="1:7">
      <c r="A487" s="221"/>
      <c r="B487" s="1060"/>
      <c r="C487" s="1060"/>
      <c r="D487" s="1060"/>
      <c r="F487" s="165" t="s">
        <v>1579</v>
      </c>
      <c r="G487" s="1059"/>
    </row>
    <row r="488" spans="1:7">
      <c r="A488" s="221"/>
      <c r="B488" s="1060"/>
      <c r="C488" s="1060"/>
      <c r="D488" s="1060"/>
      <c r="F488" s="165" t="s">
        <v>1741</v>
      </c>
      <c r="G488" s="1059"/>
    </row>
    <row r="489" spans="1:7">
      <c r="A489" s="221"/>
      <c r="B489" s="1060"/>
      <c r="C489" s="1060"/>
      <c r="D489" s="1060"/>
      <c r="F489" s="165" t="s">
        <v>1308</v>
      </c>
      <c r="G489" s="1059"/>
    </row>
    <row r="491" spans="1:7" ht="18" customHeight="1">
      <c r="A491" s="1257" t="s">
        <v>1247</v>
      </c>
      <c r="B491" s="108"/>
      <c r="C491" s="108"/>
      <c r="D491" s="108"/>
      <c r="E491" s="1074" t="str">
        <f>"4.A.10."&amp;Funding!A232&amp;"."</f>
        <v>4.A.10..</v>
      </c>
    </row>
    <row r="492" spans="1:7">
      <c r="A492" t="s">
        <v>936</v>
      </c>
      <c r="F492" s="466">
        <v>32500</v>
      </c>
    </row>
    <row r="494" spans="1:7" ht="18" customHeight="1">
      <c r="A494" s="1257" t="s">
        <v>897</v>
      </c>
      <c r="B494" s="108"/>
      <c r="C494" s="108"/>
      <c r="D494" s="108"/>
      <c r="E494" s="1074" t="s">
        <v>1251</v>
      </c>
    </row>
    <row r="495" spans="1:7">
      <c r="A495" s="108" t="s">
        <v>898</v>
      </c>
      <c r="B495" s="1751" t="s">
        <v>196</v>
      </c>
      <c r="C495" s="1751"/>
      <c r="D495" s="405" t="s">
        <v>901</v>
      </c>
    </row>
    <row r="496" spans="1:7">
      <c r="A496" s="108" t="s">
        <v>899</v>
      </c>
      <c r="B496" s="1766" t="s">
        <v>904</v>
      </c>
      <c r="C496" s="1766"/>
      <c r="D496" s="108"/>
    </row>
    <row r="497" spans="1:9">
      <c r="A497" s="108" t="s">
        <v>900</v>
      </c>
      <c r="B497" s="1766" t="s">
        <v>2</v>
      </c>
      <c r="C497" s="1766"/>
      <c r="D497" s="405" t="s">
        <v>902</v>
      </c>
    </row>
    <row r="499" spans="1:9" ht="18" customHeight="1">
      <c r="A499" s="1257" t="s">
        <v>1253</v>
      </c>
      <c r="B499" s="108"/>
      <c r="C499" s="108"/>
      <c r="D499" s="108"/>
      <c r="E499" s="1524" t="s">
        <v>2018</v>
      </c>
      <c r="F499" s="216" t="s">
        <v>2019</v>
      </c>
      <c r="G499" s="216" t="s">
        <v>2129</v>
      </c>
      <c r="H499" s="216" t="s">
        <v>2130</v>
      </c>
    </row>
    <row r="500" spans="1:9">
      <c r="A500" t="s">
        <v>889</v>
      </c>
      <c r="E500" s="1338" t="s">
        <v>196</v>
      </c>
      <c r="F500" s="1517" t="s">
        <v>197</v>
      </c>
      <c r="G500" s="1129">
        <f>COUNTIF('General Information'!$K$10:$K$161,"=1")-COUNTIFS('General Information'!$K$10:$K$161,"=1",'General Information'!$L$10:$L$161,"=1")</f>
        <v>9</v>
      </c>
      <c r="H500" s="1129">
        <f>(COUNTIF('General Information'!$K$10:$K$161,"=2")+IF('General Information'!$K$107&lt;&gt;0,1,0)+IF('General Information'!$K$114&lt;&gt;0,1,0)+IF('General Information'!$K$142&lt;&gt;0,1,0)+IF('General Information'!$K$149&lt;&gt;0,1,0)+IF('General Information'!$K$153&lt;&gt;0,1,0)+IF('General Information'!$K$160&lt;&gt;0,1,0))-(COUNTIFS('General Information'!$K$10:$K$161,"=2",'General Information'!$L$10:$L$161,"=2")+IF(AND('General Information'!$K$107&lt;&gt;0,$H$107&lt;&gt;""),1,0)+IF(AND('General Information'!$K$114&lt;&gt;0,'General Information'!$H$114&lt;&gt;""),1,0)+IF(AND('General Information'!$K$142&lt;&gt;0,'General Information'!$H$142&lt;&gt;""),1,0)+IF(AND('General Information'!$K$149&lt;&gt;0,'General Information'!$H$149&lt;&gt;""),1,0)+IF(AND('General Information'!$K$153&lt;&gt;0,'General Information'!$H$153&lt;&gt;""),1,0)+IF(AND('General Information'!$K$160&lt;&gt;0,'General Information'!$H$160&lt;&gt;""),1,0))</f>
        <v>21</v>
      </c>
    </row>
    <row r="501" spans="1:9">
      <c r="A501" t="s">
        <v>888</v>
      </c>
      <c r="E501" s="1339" t="s">
        <v>196</v>
      </c>
      <c r="F501" s="1518" t="s">
        <v>197</v>
      </c>
      <c r="G501" s="1129">
        <f>COUNTIF('Proposed Development Info'!$K$3:$K$86,"=1")-COUNTIFS('Proposed Development Info'!$K$3:$K$86,"=1",'Proposed Development Info'!$L$3:$L$86,"=1")</f>
        <v>2</v>
      </c>
      <c r="H501" s="1129">
        <f>COUNTIF('Proposed Development Info'!$K$3:$K$86,"=2")-COUNTIFS('Proposed Development Info'!$K$3:$K$86,"=2",'Proposed Development Info'!$L$3:$L$86,"=2")</f>
        <v>6</v>
      </c>
    </row>
    <row r="502" spans="1:9">
      <c r="A502" t="s">
        <v>887</v>
      </c>
      <c r="E502" s="1339" t="s">
        <v>196</v>
      </c>
      <c r="F502" s="1518" t="s">
        <v>197</v>
      </c>
      <c r="G502" s="1129">
        <f>COUNTIF('Development Location'!$L$3:$L$31,"=1")-COUNTIFS('Development Location'!$L$3:$L$31,"=1",'Development Location'!$M$3:$M$31,"=1")</f>
        <v>7</v>
      </c>
      <c r="H502" s="1129">
        <f>COUNTIF('Development Location'!$L$3:$L$31,"=2")-COUNTIFS('Development Location'!$L$3:$L$31,"=2",'Development Location'!$M$3:$M$31,"=2")</f>
        <v>1</v>
      </c>
    </row>
    <row r="503" spans="1:9">
      <c r="A503" t="s">
        <v>1094</v>
      </c>
      <c r="E503" s="1339" t="s">
        <v>196</v>
      </c>
      <c r="F503" s="1518" t="s">
        <v>196</v>
      </c>
      <c r="G503" s="1129">
        <f>COUNTIF('Proximity, Mand.Dist., RECAP'!$K$7:$K$66,"=1")-COUNTIFS('Proximity, Mand.Dist., RECAP'!$K$7:$K$66,"=1",'Proximity, Mand.Dist., RECAP'!$L$7:$L$66,"=1")</f>
        <v>0</v>
      </c>
      <c r="H503" s="1129">
        <f>COUNTIF('Proximity, Mand.Dist., RECAP'!$K$7:$K$66,"=2")-COUNTIFS('Proximity, Mand.Dist., RECAP'!$K$7:$K$66,"=2",'Proximity, Mand.Dist., RECAP'!$L$7:$L$66,"=2")</f>
        <v>0</v>
      </c>
    </row>
    <row r="504" spans="1:9">
      <c r="A504" t="s">
        <v>1097</v>
      </c>
      <c r="E504" s="1339" t="s">
        <v>196</v>
      </c>
      <c r="F504" s="1518" t="s">
        <v>197</v>
      </c>
      <c r="G504" s="1129">
        <f>COUNTIF('Units, Set-Asides, Bldgs'!$P$3:$P$129,"=1")-COUNTIFS('Units, Set-Asides, Bldgs'!$P$3:$P$129,"=1",'Units, Set-Asides, Bldgs'!$Q$3:$Q$129,"=1")</f>
        <v>3</v>
      </c>
      <c r="H504" s="1129">
        <f>COUNTIF('Units, Set-Asides, Bldgs'!$P$3:$P$129,"=2")-COUNTIFS('Units, Set-Asides, Bldgs'!$P$3:$P$129,"=2",'Units, Set-Asides, Bldgs'!$Q$3:$Q$129,"=2")</f>
        <v>0</v>
      </c>
    </row>
    <row r="505" spans="1:9">
      <c r="A505" t="s">
        <v>2020</v>
      </c>
      <c r="E505" s="1523"/>
      <c r="F505" s="1518" t="s">
        <v>196</v>
      </c>
      <c r="G505" s="1647"/>
      <c r="H505" s="1647"/>
    </row>
    <row r="506" spans="1:9">
      <c r="A506" t="s">
        <v>1092</v>
      </c>
      <c r="E506" s="1339" t="s">
        <v>196</v>
      </c>
      <c r="F506" s="1518" t="s">
        <v>197</v>
      </c>
      <c r="G506" s="1129">
        <f>COUNTIF('Construction Features'!$K$12:$K$29,"=1")-COUNTIFS('Construction Features'!$K$12:$K$29,"=1",'Construction Features'!$L$12:$L$29,"=1")</f>
        <v>0</v>
      </c>
      <c r="H506" s="1129">
        <f>COUNTIF('Construction Features'!$K$12:$K$29,"=2")-COUNTIFS('Construction Features'!$K$12:$K$29,"=2",'Construction Features'!$L$12:$L$29,"=2")</f>
        <v>12</v>
      </c>
    </row>
    <row r="507" spans="1:9">
      <c r="A507" t="s">
        <v>2011</v>
      </c>
      <c r="E507" s="1408" t="s">
        <v>196</v>
      </c>
      <c r="F507" s="1518" t="s">
        <v>197</v>
      </c>
      <c r="G507" s="1129">
        <f>COUNTIF(Services!$K$7:$K$39,"=1")-COUNTIFS(Services!$K$7:$K$39,"=1",Services!$L$7:$L$39,"=1")</f>
        <v>13</v>
      </c>
      <c r="H507" s="1129">
        <f>COUNTIF(Services!$K$7:$K$39,"=2")-COUNTIFS(Services!$K$7:$K$39,"=2",Services!$L$7:$L$39,"=2")</f>
        <v>1</v>
      </c>
    </row>
    <row r="508" spans="1:9">
      <c r="A508" t="s">
        <v>1093</v>
      </c>
      <c r="E508" s="1339" t="s">
        <v>196</v>
      </c>
      <c r="F508" s="1518" t="s">
        <v>196</v>
      </c>
      <c r="G508" s="1129">
        <f>COUNTIF('Resident Programs'!$K$5:$K$21,"=1")-COUNTIFS('Resident Programs'!$K$5:$K$21,"=1",'Resident Programs'!$L$5:$L$21,"=1")</f>
        <v>0</v>
      </c>
      <c r="H508" s="1129">
        <f>COUNTIF('Resident Programs'!$K$5:$K$21,"=2")-COUNTIFS('Resident Programs'!$K$5:$K$21,"=2",'Resident Programs'!$L$5:$L$21,"=2")</f>
        <v>0</v>
      </c>
    </row>
    <row r="509" spans="1:9">
      <c r="A509" t="s">
        <v>1041</v>
      </c>
      <c r="E509" s="1339" t="s">
        <v>196</v>
      </c>
      <c r="F509" s="1518" t="s">
        <v>197</v>
      </c>
      <c r="G509" s="1129">
        <f ca="1">COUNTIF(Funding!$K$3:$K$248,"=1")-COUNTIFS(Funding!$K$3:$K$248,"=1",Funding!$L$3:$L$248,"=1")</f>
        <v>1</v>
      </c>
      <c r="H509" s="1129">
        <f ca="1">(COUNTIF(Funding!$K$3:$K$248,"=2"))-(COUNTIFS(Funding!$K$3:$K$248,"=2",Funding!$L$3:$L$248,"=2"))</f>
        <v>6</v>
      </c>
    </row>
    <row r="510" spans="1:9">
      <c r="A510" t="s">
        <v>1311</v>
      </c>
      <c r="E510" s="1339" t="s">
        <v>197</v>
      </c>
      <c r="F510" s="1518" t="s">
        <v>197</v>
      </c>
      <c r="G510" s="1647"/>
      <c r="H510" s="1647"/>
      <c r="I510" t="s">
        <v>2133</v>
      </c>
    </row>
    <row r="511" spans="1:9">
      <c r="A511" s="208" t="s">
        <v>1565</v>
      </c>
      <c r="E511" s="1339" t="s">
        <v>197</v>
      </c>
      <c r="F511" s="1518" t="s">
        <v>197</v>
      </c>
      <c r="G511" s="1647"/>
      <c r="H511" s="1647"/>
      <c r="I511" s="960" t="str">
        <f>IF(E511="No","Manualy lock ODR Ineligible and Total Fields","Manualy unlock ODR Ineligible and Total Fields")</f>
        <v>Manualy lock ODR Ineligible and Total Fields</v>
      </c>
    </row>
    <row r="512" spans="1:9">
      <c r="A512" t="s">
        <v>1488</v>
      </c>
      <c r="E512" s="1339" t="s">
        <v>197</v>
      </c>
      <c r="F512" s="1518" t="s">
        <v>197</v>
      </c>
      <c r="G512" s="1647"/>
      <c r="H512" s="1647"/>
    </row>
    <row r="513" spans="1:9">
      <c r="A513" t="s">
        <v>2108</v>
      </c>
      <c r="E513" s="1578" t="s">
        <v>196</v>
      </c>
      <c r="F513" s="1578" t="s">
        <v>197</v>
      </c>
      <c r="G513" s="1129">
        <f>COUNTIF('HOME URA'!$K$3:$K$30,"=1")-COUNTIFS('HOME URA'!$K$3:$K$30,"=1",'HOME URA'!$L$3:$L$30,"=1")</f>
        <v>11</v>
      </c>
      <c r="H513" s="1129">
        <f>(COUNTIF('HOME URA'!$K$3:$K$30,"=2"))-(COUNTIFS('HOME URA'!$K$3:$K$30,"=2",'HOME URA'!$L$3:$L$30,"=2"))</f>
        <v>0</v>
      </c>
    </row>
    <row r="514" spans="1:9">
      <c r="A514" t="s">
        <v>1042</v>
      </c>
      <c r="E514" s="1339" t="s">
        <v>197</v>
      </c>
      <c r="F514" s="1518" t="s">
        <v>197</v>
      </c>
      <c r="G514" s="1647"/>
      <c r="H514" s="1647"/>
    </row>
    <row r="515" spans="1:9">
      <c r="G515" s="1648">
        <f ca="1">SUM(G500:G514)</f>
        <v>46</v>
      </c>
      <c r="H515" s="1648">
        <f ca="1">SUM(H500:H514)</f>
        <v>47</v>
      </c>
    </row>
    <row r="517" spans="1:9" ht="18" customHeight="1">
      <c r="A517" s="1257" t="s">
        <v>1430</v>
      </c>
      <c r="B517" s="108"/>
      <c r="C517" s="108"/>
      <c r="D517" s="108"/>
      <c r="E517" s="108"/>
      <c r="F517" s="932" t="s">
        <v>2</v>
      </c>
      <c r="I517" t="s">
        <v>1575</v>
      </c>
    </row>
    <row r="518" spans="1:9">
      <c r="F518" s="931">
        <v>0.2</v>
      </c>
    </row>
    <row r="519" spans="1:9">
      <c r="F519" s="931">
        <v>0.22</v>
      </c>
    </row>
    <row r="520" spans="1:9">
      <c r="F520" s="931">
        <v>0.25</v>
      </c>
    </row>
    <row r="521" spans="1:9">
      <c r="F521" s="931">
        <v>0.28000000000000003</v>
      </c>
    </row>
    <row r="522" spans="1:9">
      <c r="F522" s="931">
        <v>0.3</v>
      </c>
      <c r="I522" s="999" t="s">
        <v>1489</v>
      </c>
    </row>
    <row r="523" spans="1:9">
      <c r="F523" s="931">
        <v>0.33</v>
      </c>
    </row>
    <row r="524" spans="1:9">
      <c r="F524" s="931">
        <v>0.35</v>
      </c>
    </row>
    <row r="525" spans="1:9">
      <c r="F525" s="931">
        <v>0.4</v>
      </c>
    </row>
    <row r="526" spans="1:9">
      <c r="F526" s="931">
        <v>0.45</v>
      </c>
    </row>
    <row r="527" spans="1:9">
      <c r="F527" s="931">
        <v>0.5</v>
      </c>
    </row>
    <row r="528" spans="1:9">
      <c r="F528" s="931">
        <v>0.6</v>
      </c>
    </row>
    <row r="529" spans="1:19">
      <c r="F529" s="931">
        <v>0.7</v>
      </c>
    </row>
    <row r="530" spans="1:19">
      <c r="F530" s="931">
        <v>0.8</v>
      </c>
    </row>
    <row r="531" spans="1:19">
      <c r="F531" s="931">
        <v>1.2</v>
      </c>
    </row>
    <row r="538" spans="1:19" ht="18" customHeight="1">
      <c r="A538" s="1257" t="s">
        <v>548</v>
      </c>
      <c r="B538" s="1258" t="s">
        <v>4</v>
      </c>
      <c r="C538" s="1258" t="s">
        <v>5</v>
      </c>
      <c r="D538" s="1258" t="s">
        <v>6</v>
      </c>
      <c r="E538" s="1263" t="s">
        <v>1252</v>
      </c>
      <c r="F538" s="111" t="s">
        <v>2</v>
      </c>
      <c r="I538" s="827"/>
      <c r="J538" s="827"/>
      <c r="K538" s="827"/>
      <c r="L538" s="827"/>
      <c r="M538" s="827"/>
      <c r="N538" s="827"/>
      <c r="O538" s="827"/>
      <c r="P538" s="827"/>
      <c r="Q538" s="827"/>
      <c r="R538" s="827"/>
      <c r="S538" s="827"/>
    </row>
    <row r="539" spans="1:19">
      <c r="A539" s="104" t="s">
        <v>125</v>
      </c>
      <c r="B539" s="102">
        <v>1</v>
      </c>
      <c r="C539" s="105">
        <f>IF(B539&lt;&gt;1,"",SUM(B$539:B539))</f>
        <v>1</v>
      </c>
      <c r="D539" s="102">
        <v>1</v>
      </c>
      <c r="F539" s="165" t="str">
        <f>IF(COUNTA($A$539:$A539)&lt;=MAX(DS_Serv_Sequence)=TRUE,LOOKUP(COUNTA($A$539:$A539),DS_Serv_Sequence,DS_Serv_DataNames),"")</f>
        <v>AmeriNat Community Services</v>
      </c>
      <c r="I539" s="827"/>
      <c r="J539" s="827"/>
      <c r="K539" s="827"/>
      <c r="L539" s="827"/>
      <c r="M539" s="827"/>
      <c r="N539" s="827"/>
      <c r="O539" s="827"/>
      <c r="P539" s="827"/>
      <c r="Q539" s="827"/>
      <c r="R539" s="827"/>
      <c r="S539" s="827"/>
    </row>
    <row r="540" spans="1:19">
      <c r="A540" s="104" t="s">
        <v>126</v>
      </c>
      <c r="B540" s="102">
        <v>1</v>
      </c>
      <c r="C540" s="105">
        <f>IF(B540&lt;&gt;1,"",SUM(B$539:B540))</f>
        <v>2</v>
      </c>
      <c r="D540" s="102">
        <v>2</v>
      </c>
      <c r="F540" s="165" t="str">
        <f>IF(COUNTA($A$539:$A540)&lt;=MAX(DS_Serv_Sequence)=TRUE,LOOKUP(COUNTA($A$539:$A540),DS_Serv_Sequence,DS_Serv_DataNames),"")</f>
        <v>First Housing Development Corporation</v>
      </c>
      <c r="I540" s="827"/>
      <c r="J540" s="827"/>
      <c r="K540" s="827"/>
      <c r="L540" s="827"/>
      <c r="M540" s="827"/>
      <c r="N540" s="827"/>
      <c r="O540" s="827"/>
      <c r="P540" s="827"/>
      <c r="Q540" s="827"/>
      <c r="R540" s="827"/>
      <c r="S540" s="827"/>
    </row>
    <row r="541" spans="1:19">
      <c r="A541" s="104" t="s">
        <v>127</v>
      </c>
      <c r="B541" s="102">
        <v>1</v>
      </c>
      <c r="C541" s="105">
        <f>IF(B541&lt;&gt;1,"",SUM(B$539:B541))</f>
        <v>3</v>
      </c>
      <c r="D541" s="102">
        <v>3</v>
      </c>
      <c r="F541" s="165" t="str">
        <f>IF(COUNTA($A$539:$A541)&lt;=MAX(DS_Serv_Sequence)=TRUE,LOOKUP(COUNTA($A$539:$A541),DS_Serv_Sequence,DS_Serv_DataNames),"")</f>
        <v>Seltzer Management Company</v>
      </c>
    </row>
    <row r="542" spans="1:19">
      <c r="A542" s="104" t="s">
        <v>128</v>
      </c>
      <c r="B542" s="102">
        <v>1</v>
      </c>
      <c r="C542" s="105">
        <f>IF(B542&lt;&gt;1,"",SUM(B$539:B542))</f>
        <v>4</v>
      </c>
      <c r="D542" s="102">
        <v>4</v>
      </c>
      <c r="F542" s="165" t="str">
        <f>IF(COUNTA($A$539:$A542)&lt;=MAX(DS_Serv_Sequence)=TRUE,LOOKUP(COUNTA($A$539:$A542),DS_Serv_Sequence,DS_Serv_DataNames),"")</f>
        <v>Unknown</v>
      </c>
    </row>
    <row r="552" spans="1:1">
      <c r="A552" t="s">
        <v>880</v>
      </c>
    </row>
    <row r="553" spans="1:1">
      <c r="A553" s="396" t="s">
        <v>881</v>
      </c>
    </row>
    <row r="554" spans="1:1">
      <c r="A554" t="s">
        <v>882</v>
      </c>
    </row>
    <row r="555" spans="1:1">
      <c r="A555" t="s">
        <v>883</v>
      </c>
    </row>
    <row r="557" spans="1:1">
      <c r="A557" s="396" t="s">
        <v>884</v>
      </c>
    </row>
    <row r="558" spans="1:1">
      <c r="A558" t="s">
        <v>885</v>
      </c>
    </row>
    <row r="559" spans="1:1">
      <c r="A559" t="s">
        <v>886</v>
      </c>
    </row>
    <row r="792" spans="1:5">
      <c r="A792" s="5"/>
      <c r="B792" s="5"/>
      <c r="C792" s="5"/>
      <c r="D792" s="5"/>
      <c r="E792" s="5"/>
    </row>
    <row r="793" spans="1:5">
      <c r="A793" s="5"/>
      <c r="B793" s="5"/>
      <c r="C793" s="5"/>
      <c r="D793" s="5"/>
      <c r="E793" s="5"/>
    </row>
    <row r="794" spans="1:5">
      <c r="A794" s="5"/>
      <c r="B794" s="5"/>
      <c r="C794" s="5"/>
      <c r="D794" s="5"/>
      <c r="E794" s="5"/>
    </row>
    <row r="795" spans="1:5">
      <c r="A795" s="5"/>
      <c r="B795" s="5"/>
      <c r="C795" s="5"/>
      <c r="D795" s="5"/>
      <c r="E795" s="5"/>
    </row>
    <row r="796" spans="1:5">
      <c r="A796" s="5"/>
      <c r="B796" s="5"/>
      <c r="C796" s="5"/>
      <c r="D796" s="5"/>
      <c r="E796" s="5"/>
    </row>
    <row r="797" spans="1:5">
      <c r="A797" s="5"/>
      <c r="B797" s="5"/>
      <c r="C797" s="5"/>
      <c r="D797" s="5"/>
      <c r="E797" s="5"/>
    </row>
    <row r="798" spans="1:5">
      <c r="A798" s="5"/>
      <c r="B798" s="5"/>
      <c r="C798" s="5"/>
      <c r="D798" s="5"/>
      <c r="E798" s="5"/>
    </row>
    <row r="799" spans="1:5">
      <c r="A799" s="5"/>
      <c r="B799" s="5"/>
      <c r="C799" s="5"/>
      <c r="D799" s="5"/>
      <c r="E799" s="5"/>
    </row>
    <row r="800" spans="1:5">
      <c r="A800" s="5"/>
      <c r="B800" s="5"/>
      <c r="C800" s="5"/>
      <c r="D800" s="5"/>
      <c r="E800" s="5"/>
    </row>
    <row r="801" spans="1:5">
      <c r="A801" s="5"/>
      <c r="B801" s="5"/>
      <c r="C801" s="5"/>
      <c r="D801" s="5"/>
      <c r="E801" s="5"/>
    </row>
    <row r="802" spans="1:5">
      <c r="A802" s="5"/>
      <c r="B802" s="5"/>
      <c r="C802" s="5"/>
      <c r="D802" s="5"/>
      <c r="E802" s="5"/>
    </row>
    <row r="803" spans="1:5">
      <c r="A803" s="5"/>
      <c r="B803" s="5"/>
      <c r="C803" s="5"/>
      <c r="D803" s="5"/>
      <c r="E803" s="5"/>
    </row>
    <row r="804" spans="1:5">
      <c r="A804" s="5"/>
      <c r="B804" s="5"/>
      <c r="C804" s="5"/>
      <c r="D804" s="5"/>
      <c r="E804" s="5"/>
    </row>
    <row r="805" spans="1:5">
      <c r="A805" s="5"/>
      <c r="B805" s="5"/>
      <c r="C805" s="5"/>
      <c r="D805" s="5"/>
      <c r="E805" s="5"/>
    </row>
    <row r="806" spans="1:5">
      <c r="A806" s="5"/>
      <c r="B806" s="5"/>
      <c r="C806" s="5"/>
      <c r="D806" s="5"/>
      <c r="E806" s="5"/>
    </row>
  </sheetData>
  <sheetProtection algorithmName="SHA-512" hashValue="7Ux7YPdEAPT6LnuPD1pCmkfwhth6SKSudwrKDIlgRcxsRFTlBg1KWt4N2EyCzZQUV6FVZJYEkerh5Bx4oRyB7A==" saltValue="izMpiRbTrwQvX3ZeqKSDJA==" spinCount="100000" sheet="1" selectLockedCells="1"/>
  <sortState xmlns:xlrd2="http://schemas.microsoft.com/office/spreadsheetml/2017/richdata2" ref="E291:E302">
    <sortCondition ref="E291:E302"/>
  </sortState>
  <mergeCells count="37">
    <mergeCell ref="W174:X174"/>
    <mergeCell ref="W166:X166"/>
    <mergeCell ref="W167:X167"/>
    <mergeCell ref="K167:L167"/>
    <mergeCell ref="M167:N167"/>
    <mergeCell ref="O167:P167"/>
    <mergeCell ref="Q167:R167"/>
    <mergeCell ref="U166:V166"/>
    <mergeCell ref="U167:V167"/>
    <mergeCell ref="U174:V174"/>
    <mergeCell ref="O174:R176"/>
    <mergeCell ref="U175:V175"/>
    <mergeCell ref="B496:C496"/>
    <mergeCell ref="B497:C497"/>
    <mergeCell ref="A4:F4"/>
    <mergeCell ref="B484:D484"/>
    <mergeCell ref="B485:D485"/>
    <mergeCell ref="B361:D361"/>
    <mergeCell ref="B356:D356"/>
    <mergeCell ref="B306:C306"/>
    <mergeCell ref="B305:C305"/>
    <mergeCell ref="C293:C295"/>
    <mergeCell ref="C320:C321"/>
    <mergeCell ref="F373:F374"/>
    <mergeCell ref="U270:U271"/>
    <mergeCell ref="B495:C495"/>
    <mergeCell ref="G167:H167"/>
    <mergeCell ref="I167:J167"/>
    <mergeCell ref="G166:J166"/>
    <mergeCell ref="O166:R166"/>
    <mergeCell ref="K166:N166"/>
    <mergeCell ref="I170:I171"/>
    <mergeCell ref="J170:J171"/>
    <mergeCell ref="M170:M171"/>
    <mergeCell ref="N170:N171"/>
    <mergeCell ref="S167:T167"/>
    <mergeCell ref="S166:T166"/>
  </mergeCells>
  <conditionalFormatting sqref="A146:D152 A155:A161">
    <cfRule type="expression" dxfId="693" priority="76">
      <formula>ROUND(COUNTA($A$146:$A146)/2,0)=COUNTA($A$146:$A146)/2</formula>
    </cfRule>
  </conditionalFormatting>
  <conditionalFormatting sqref="A177:D243 H177:I243">
    <cfRule type="expression" dxfId="692" priority="75">
      <formula>ROUND(COUNTA($A$177:$A177)/2,0)=COUNTA($A$177:$A177)/2</formula>
    </cfRule>
  </conditionalFormatting>
  <conditionalFormatting sqref="A254:D265">
    <cfRule type="expression" dxfId="691" priority="73">
      <formula>ROUND(COUNTA($A$254:$A254)/2,0)=COUNTA($A$254:$A254)/2</formula>
    </cfRule>
  </conditionalFormatting>
  <conditionalFormatting sqref="A334:D336">
    <cfRule type="expression" dxfId="690" priority="70">
      <formula>ROUND(COUNTA($A$334:$A334)/2,0)=COUNTA($A$334:$A334)/2</formula>
    </cfRule>
  </conditionalFormatting>
  <conditionalFormatting sqref="A339:D342">
    <cfRule type="expression" dxfId="689" priority="68">
      <formula>ROUND(COUNTA($A$339:$A339)/2,0)=COUNTA($A$339:$A339)/2</formula>
    </cfRule>
  </conditionalFormatting>
  <conditionalFormatting sqref="A432:D435">
    <cfRule type="expression" dxfId="688" priority="63">
      <formula>ROUND(COUNTA($A$432:$A432)/2,0)=COUNTA($A$432:$A432)/2</formula>
    </cfRule>
  </conditionalFormatting>
  <conditionalFormatting sqref="J579:J2664">
    <cfRule type="cellIs" dxfId="687" priority="54" operator="notEqual">
      <formula>$A579</formula>
    </cfRule>
  </conditionalFormatting>
  <conditionalFormatting sqref="A12:D21">
    <cfRule type="expression" dxfId="686" priority="338">
      <formula>ROUND(COUNTA($A$12:$A12)/2,0)=COUNTA($A$12:$A12)/2</formula>
    </cfRule>
  </conditionalFormatting>
  <conditionalFormatting sqref="A80:D81">
    <cfRule type="expression" dxfId="685" priority="499">
      <formula>ROUND(COUNTA($A$80:$A80)/2,0)=COUNTA($A$80:$A80)/2</formula>
    </cfRule>
  </conditionalFormatting>
  <conditionalFormatting sqref="A539:D542">
    <cfRule type="expression" dxfId="684" priority="503">
      <formula>ROUND(COUNTA($A$539:$A539)/2,0)=COUNTA($A$539:$A539)/2</formula>
    </cfRule>
  </conditionalFormatting>
  <conditionalFormatting sqref="B155:D161">
    <cfRule type="expression" dxfId="683" priority="46">
      <formula>ROUND(COUNTA($A$146:$A155)/2,0)=COUNTA($A$146:$A155)/2</formula>
    </cfRule>
  </conditionalFormatting>
  <conditionalFormatting sqref="A84:D134">
    <cfRule type="expression" dxfId="682" priority="729">
      <formula>ROUND(COUNTA($A$84:$A84)/2,0)=COUNTA($A$84:$A84)/2</formula>
    </cfRule>
  </conditionalFormatting>
  <conditionalFormatting sqref="G420">
    <cfRule type="expression" dxfId="681" priority="45">
      <formula>LEFT(RIGHT(G420,58),7)="INVALID"</formula>
    </cfRule>
  </conditionalFormatting>
  <conditionalFormatting sqref="G422">
    <cfRule type="expression" dxfId="680" priority="44">
      <formula>LEFT(RIGHT(G422,58),7)="INVALID"</formula>
    </cfRule>
  </conditionalFormatting>
  <conditionalFormatting sqref="G425">
    <cfRule type="expression" dxfId="679" priority="43">
      <formula>LEFT(RIGHT(G425,58),7)="INVALID"</formula>
    </cfRule>
  </conditionalFormatting>
  <conditionalFormatting sqref="G428:G429">
    <cfRule type="expression" dxfId="678" priority="42">
      <formula>LEFT(RIGHT(G428,58),7)="INVALID"</formula>
    </cfRule>
  </conditionalFormatting>
  <conditionalFormatting sqref="V428:V429">
    <cfRule type="expression" dxfId="677" priority="41">
      <formula>LEFT(RIGHT(V428,58),7)="INVALID"</formula>
    </cfRule>
  </conditionalFormatting>
  <conditionalFormatting sqref="V420">
    <cfRule type="expression" dxfId="676" priority="38">
      <formula>LEFT(RIGHT(V420,58),7)="INVALID"</formula>
    </cfRule>
  </conditionalFormatting>
  <conditionalFormatting sqref="V422">
    <cfRule type="expression" dxfId="675" priority="39">
      <formula>LEFT(RIGHT(V422,58),7)="INVALID"</formula>
    </cfRule>
  </conditionalFormatting>
  <conditionalFormatting sqref="V425">
    <cfRule type="expression" dxfId="674" priority="40">
      <formula>LEFT(RIGHT(V425,58),7)="INVALID"</formula>
    </cfRule>
  </conditionalFormatting>
  <conditionalFormatting sqref="V411:W429">
    <cfRule type="expression" dxfId="673" priority="37">
      <formula>$V411="No"</formula>
    </cfRule>
  </conditionalFormatting>
  <conditionalFormatting sqref="B388:N394 B396:N402 B404:N408">
    <cfRule type="expression" dxfId="672" priority="36">
      <formula>IFERROR(FIND(" NOT ",$B388),0)&gt;0</formula>
    </cfRule>
  </conditionalFormatting>
  <conditionalFormatting sqref="A411:A412 C411:F412">
    <cfRule type="expression" dxfId="671" priority="35">
      <formula>AND(OR(Demographic=$A$13,Demographic=$A$15),OR(Development_Category=$A$147,Development_Category=$A$148,Development_Category=$A$151,Development_Category=$A$152))</formula>
    </cfRule>
  </conditionalFormatting>
  <conditionalFormatting sqref="A413:A414 C413:F414">
    <cfRule type="expression" dxfId="670" priority="33">
      <formula>AND(OR(Demographic=$A$13,Demographic=$A$15),OR(Development_Category=$A$146,Development_Category=$A$149,Development_Category=$A$150))</formula>
    </cfRule>
  </conditionalFormatting>
  <conditionalFormatting sqref="A416 C416:F416">
    <cfRule type="expression" priority="32">
      <formula>AND(OR(Demographic=$A$12,Demographic=$A$21),OR(Development_Category=$A$146,Development_Category=$A$149,Development_Category=$A$150))</formula>
    </cfRule>
  </conditionalFormatting>
  <conditionalFormatting sqref="A415 C415:F415">
    <cfRule type="expression" dxfId="669" priority="31">
      <formula>Demographic=$A$14</formula>
    </cfRule>
  </conditionalFormatting>
  <conditionalFormatting sqref="A417:A420 C417:F420">
    <cfRule type="expression" dxfId="668" priority="30">
      <formula>Demographic=$A$17</formula>
    </cfRule>
  </conditionalFormatting>
  <conditionalFormatting sqref="A421:A422 C421:F422">
    <cfRule type="expression" dxfId="667" priority="29">
      <formula>Demographic=$A$16</formula>
    </cfRule>
  </conditionalFormatting>
  <conditionalFormatting sqref="A423:A425 C423:F425">
    <cfRule type="expression" dxfId="666" priority="28">
      <formula>OR(Demographic=$A$18,Demographic=$A$19)</formula>
    </cfRule>
  </conditionalFormatting>
  <conditionalFormatting sqref="A426:A428 C426:F428">
    <cfRule type="expression" dxfId="665" priority="27">
      <formula>Demographic=$A$20</formula>
    </cfRule>
  </conditionalFormatting>
  <conditionalFormatting sqref="A35:D66">
    <cfRule type="expression" dxfId="664" priority="959">
      <formula>ROUND(COUNTA($A35:$A$183)/2,0)=COUNTA($A35:$A$183)/2</formula>
    </cfRule>
  </conditionalFormatting>
  <conditionalFormatting sqref="G371:J371">
    <cfRule type="expression" dxfId="663" priority="22">
      <formula>$B$372="Yes"</formula>
    </cfRule>
  </conditionalFormatting>
  <conditionalFormatting sqref="G370:J370">
    <cfRule type="expression" dxfId="662" priority="21">
      <formula>$B$372="No"</formula>
    </cfRule>
  </conditionalFormatting>
  <conditionalFormatting sqref="O388:O394 O396:O402 O404:O408">
    <cfRule type="expression" dxfId="661" priority="20">
      <formula>IFERROR(FIND(" NOT ",$B388),0)&gt;0</formula>
    </cfRule>
  </conditionalFormatting>
  <conditionalFormatting sqref="C282:C284 C286:C288 C290:C291">
    <cfRule type="expression" dxfId="660" priority="19">
      <formula>C282&lt;&gt;""</formula>
    </cfRule>
  </conditionalFormatting>
  <conditionalFormatting sqref="E291:E302">
    <cfRule type="cellIs" dxfId="659" priority="16" operator="equal">
      <formula>SMALL(D$299:D$302,1)&amp;","&amp;SMALL(D$299:D$302,2)&amp;","&amp;SMALL(D$299:D$302,3)&amp;","&amp;SMALL(D$299:D$302,4)</formula>
    </cfRule>
  </conditionalFormatting>
  <conditionalFormatting sqref="E500:E504 E508:E512 E506 E514">
    <cfRule type="cellIs" dxfId="658" priority="13" operator="equal">
      <formula>"Yes"</formula>
    </cfRule>
  </conditionalFormatting>
  <conditionalFormatting sqref="E507">
    <cfRule type="cellIs" dxfId="657" priority="12" operator="equal">
      <formula>"Yes"</formula>
    </cfRule>
  </conditionalFormatting>
  <conditionalFormatting sqref="F508:F512 F500:F506 F514">
    <cfRule type="cellIs" dxfId="656" priority="11" operator="equal">
      <formula>"Yes"</formula>
    </cfRule>
  </conditionalFormatting>
  <conditionalFormatting sqref="F507">
    <cfRule type="cellIs" dxfId="655" priority="10" operator="equal">
      <formula>"Yes"</formula>
    </cfRule>
  </conditionalFormatting>
  <conditionalFormatting sqref="B439:B448">
    <cfRule type="expression" dxfId="654" priority="9">
      <formula>NOT(ISBLANK($J$14:$J$29))</formula>
    </cfRule>
  </conditionalFormatting>
  <conditionalFormatting sqref="B453:B454">
    <cfRule type="expression" dxfId="653" priority="8">
      <formula>NOT(ISBLANK($J$24:$J$29))</formula>
    </cfRule>
  </conditionalFormatting>
  <conditionalFormatting sqref="E513">
    <cfRule type="cellIs" dxfId="652" priority="4" operator="equal">
      <formula>"Yes"</formula>
    </cfRule>
  </conditionalFormatting>
  <conditionalFormatting sqref="F513">
    <cfRule type="cellIs" dxfId="651" priority="3" operator="equal">
      <formula>"Yes"</formula>
    </cfRule>
  </conditionalFormatting>
  <conditionalFormatting sqref="K169:K173 L169 L171:L173 M169:N172 O169:O173 P169 P171:P173 Q169:R170 Q172:R172 S169:S173 T169 T171:T173 U169:U173 V169 V171:V173">
    <cfRule type="cellIs" dxfId="650" priority="1" operator="equal">
      <formula>""</formula>
    </cfRule>
  </conditionalFormatting>
  <dataValidations count="6">
    <dataValidation type="list" allowBlank="1" showInputMessage="1" showErrorMessage="1" sqref="B497 B495 C316:C320 B372 C322:C331 E500:E504 E506:E514 F500:F514" xr:uid="{4E8DABAA-C8BE-4910-AE5E-6DC442FCB534}">
      <formula1>"&lt;select one&gt;, Yes, No"</formula1>
    </dataValidation>
    <dataValidation type="list" allowBlank="1" showInputMessage="1" showErrorMessage="1" sqref="B496:C496" xr:uid="{7F902045-488A-473E-AC1C-EAF1933EE6BA}">
      <formula1>"&lt;select one&gt;, Face, NPV"</formula1>
    </dataValidation>
    <dataValidation type="list" allowBlank="1" showInputMessage="1" showErrorMessage="1" sqref="E72" xr:uid="{DEED4C47-0C74-4D65-9B1E-FE578AE618C4}">
      <formula1>DS_DevExpProgs_DDMenu</formula1>
    </dataValidation>
    <dataValidation type="list" allowBlank="1" showInputMessage="1" showErrorMessage="1" sqref="B485:D485" xr:uid="{E7CE9D48-09E0-424A-9265-9DC1562F5D4A}">
      <formula1>DS_QualFin_DDMenu</formula1>
    </dataValidation>
    <dataValidation type="list" allowBlank="1" showInputMessage="1" showErrorMessage="1" sqref="B362" xr:uid="{0EB13691-325D-4F99-AA44-0AFD3D0CA10A}">
      <formula1>DS_AMI_List</formula1>
    </dataValidation>
    <dataValidation type="list" allowBlank="1" showInputMessage="1" showErrorMessage="1" sqref="E76" xr:uid="{4C75FBAD-0BB5-44DC-9363-BE560AE8B759}">
      <formula1>$F$68:$F$70</formula1>
    </dataValidation>
  </dataValidations>
  <hyperlinks>
    <hyperlink ref="F305" r:id="rId1" display="https://support.office.com/en-us/f1/topic/aa1f3067-05c9-44e4-b141-f75bb9bb89bd?showContactUsNav=False&amp;ns=EXCEL&amp;version=90" xr:uid="{653B4F34-8D0D-4A1C-BDC5-83CAB2D07533}"/>
  </hyperlinks>
  <pageMargins left="0.7" right="0.7" top="0.75" bottom="0.75" header="0.3" footer="0.3"/>
  <pageSetup scale="80" orientation="portrait" cellComments="atEnd" r:id="rId2"/>
  <headerFooter>
    <oddHeader>&amp;C&amp;B&amp;14&amp;K7030A0Exhibit A to RFA 2022-109 SAIL and HOME-ARP Financing for Smaller Developments for Persons with Special Needs</oddHeader>
    <oddFooter>&amp;LRFA 2022-109&amp;R&amp;K000000'&amp;A' worksheet tab: Page &amp;P of &amp;N</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AC2323"/>
  <sheetViews>
    <sheetView workbookViewId="0">
      <selection activeCell="A11" sqref="A11"/>
    </sheetView>
  </sheetViews>
  <sheetFormatPr defaultRowHeight="14.4"/>
  <cols>
    <col min="1" max="1" width="8.44140625" customWidth="1"/>
    <col min="2" max="2" width="14.109375" customWidth="1"/>
    <col min="3" max="3" width="0.88671875" customWidth="1"/>
    <col min="4" max="4" width="32.44140625" customWidth="1"/>
    <col min="5" max="5" width="0.88671875" customWidth="1"/>
    <col min="6" max="6" width="16.88671875" bestFit="1" customWidth="1"/>
    <col min="7" max="7" width="15.109375" customWidth="1"/>
    <col min="8" max="8" width="0.88671875" customWidth="1"/>
    <col min="9" max="9" width="14.44140625" customWidth="1"/>
    <col min="10" max="10" width="17.5546875" customWidth="1"/>
    <col min="11" max="11" width="0.88671875" customWidth="1"/>
    <col min="13" max="13" width="13.44140625" customWidth="1"/>
    <col min="14" max="14" width="0.88671875" customWidth="1"/>
    <col min="15" max="15" width="20.5546875" customWidth="1"/>
    <col min="16" max="16" width="0.88671875" customWidth="1"/>
    <col min="17" max="17" width="20.5546875" customWidth="1"/>
    <col min="19" max="19" width="11.6640625" customWidth="1"/>
    <col min="20" max="20" width="10.6640625" customWidth="1"/>
    <col min="21" max="21" width="37" customWidth="1"/>
    <col min="22" max="23" width="16.6640625" customWidth="1"/>
    <col min="26" max="26" width="46.44140625" customWidth="1"/>
    <col min="27" max="27" width="13.88671875" customWidth="1"/>
    <col min="28" max="28" width="18.6640625" customWidth="1"/>
  </cols>
  <sheetData>
    <row r="1" spans="1:15">
      <c r="A1" s="9" t="s">
        <v>188</v>
      </c>
    </row>
    <row r="3" spans="1:15">
      <c r="A3" s="1796" t="s">
        <v>876</v>
      </c>
      <c r="B3" s="1797"/>
      <c r="C3" s="1797"/>
      <c r="D3" s="1797"/>
      <c r="E3" s="1797"/>
      <c r="F3" s="1797"/>
      <c r="G3" s="1797"/>
      <c r="H3" s="1797"/>
      <c r="I3" s="1797"/>
      <c r="J3" s="1797"/>
      <c r="K3" s="1797"/>
      <c r="L3" s="1797"/>
      <c r="M3" s="1797"/>
      <c r="N3" s="1797"/>
      <c r="O3" s="1797"/>
    </row>
    <row r="4" spans="1:15">
      <c r="A4" s="1237"/>
      <c r="B4" s="456" t="s">
        <v>1719</v>
      </c>
      <c r="C4" s="1237"/>
      <c r="D4" s="456" t="s">
        <v>1720</v>
      </c>
      <c r="E4" s="1237"/>
      <c r="F4" s="1237"/>
      <c r="G4" s="1189" t="s">
        <v>1717</v>
      </c>
      <c r="I4" s="1798" t="s">
        <v>1718</v>
      </c>
      <c r="J4" s="1799"/>
      <c r="K4" s="1799"/>
      <c r="L4" s="1799"/>
      <c r="M4" s="1799"/>
      <c r="N4" s="1799"/>
      <c r="O4" s="1800"/>
    </row>
    <row r="5" spans="1:15">
      <c r="A5" s="371" t="str">
        <f>IF(B5="Workforce",1,IF(B5="SAIL",2,IF(B5="ELI",3,IF(B5="HOME",4,IF(B5="HOME-ARP",5,IF(B5="Grant",6,IF(B5="NHTF",7,IF(B5="TBD",8,""))))))))</f>
        <v/>
      </c>
      <c r="B5" s="371" t="str">
        <f>IF(N(Workforce_Request_Amount)&gt;0,"Workforce",IF(N(SAIL_Request_Amount)&gt;0,"SAIL",IF(N(ELI_Request_Amount)&gt;0,"ELI",IF(N(HOME_Request_Amount)&gt;0,"HOME",IF(N(ARP_Request_Amount)&gt;0,"HOME-ARP",IF(N(Grant_Request_Amount)&gt;0,"Grant",IF(N(NHTF_Request_Amount)&gt;0,"NHTF",IF(N(TBD_Request_Amount)&gt;0,"TBD",""))))))))</f>
        <v/>
      </c>
      <c r="D5" s="372" t="str">
        <f>CHOOSE(N(A5)+1,"",Workforce_Request_Amount,SAIL_Request_Amount,ELI_Request_Amount,HOME_Request_Amount,ARP_Request_Amount,Grant_Request_Amount,NHTF_Request_Amount,TBD_Request_Amount,"")</f>
        <v/>
      </c>
      <c r="F5" s="371" t="str">
        <f>CHOOSE(N(A5)+1,"Enter request on Funding Tab","FHFC - Workforce","FHFC - SAIL","FHFC - SAIL ELI","FHFC - HOME","FHFC - HOME-ARP","FHFC - Grant","FHFC - NHTF","FHFC - TBD","")</f>
        <v>Enter request on Funding Tab</v>
      </c>
      <c r="G5" s="372" t="str">
        <f>CHOOSE(N(A5)+1,"",Max_Workforce,Max_SAIL,Max_ELI,Max_HOME,Max_ARP,Max_Grant,Max_NHTF,Max_TBD,"")</f>
        <v/>
      </c>
      <c r="I5" s="1801" t="str">
        <f>IF(DS_FHFC_Source_1_Amt&gt;DS_FHFC_Source_1_Max_Amt,"The "&amp;TEXT(DS_FHFC_Source_1_Name,"0")&amp;" request amount has been adjusted to the Maximum of "&amp;TEXT(DS_FHFC_Source_1_Max_Amt,"$#,##0")&amp;".","")</f>
        <v/>
      </c>
      <c r="J5" s="1801"/>
      <c r="K5" s="1801"/>
      <c r="L5" s="1801"/>
      <c r="M5" s="1801"/>
      <c r="N5" s="1801"/>
      <c r="O5" s="1801"/>
    </row>
    <row r="6" spans="1:15">
      <c r="A6" s="371" t="str">
        <f t="shared" ref="A6:A8" si="0">IF(B6="Workforce",1,IF(B6="SAIL",2,IF(B6="ELI",3,IF(B6="HOME",4,IF(B6="HOME-ARP",5,IF(B6="Grant",6,IF(B6="NHTF",7,IF(B6="TBD",8,""))))))))</f>
        <v/>
      </c>
      <c r="B6" s="1185" t="str">
        <f>CHOOSE(N(A5)+1,"",IF(N(SAIL_Request_Amount)&gt;0,"SAIL",IF(N(ELI_Request_Amount)&gt;0,"ELI",IF(N(HOME_Request_Amount)&gt;0,"HOME",IF(N(ARP_Request_Amount)&gt;0,"HOME-ARP",IF(N(Grant_Request_Amount)&gt;0,"Grant",IF(N(NHTF_Request_Amount)&gt;0,"NHTF",IF(N(TBD_Request_Amount)&gt;0,"TBD",""))))))),IF(N(ELI_Request_Amount)&gt;0,"ELI",IF(N(HOME_Request_Amount)&gt;0,"HOME",IF(N(ARP_Request_Amount)&gt;0,"HOME-ARP",IF(N(Grant_Request_Amount)&gt;0,"Grant",IF(N(NHTF_Request_Amount)&gt;0,"NHTF",IF(N(TBD_Request_Amount)&gt;0,"TBD","")))))),IF(N(HOME_Request_Amount)&gt;0,"HOME",IF(N(ARP_Request_Amount)&gt;0,"HOME-ARP",IF(N(Grant_Request_Amount)&gt;0,"Grant",IF(N(NHTF_Request_Amount)&gt;0,"NHTF",IF(N(TBD_Request_Amount)&gt;0,"TBD",""))))),IF(N(ARP_Request_Amount)&gt;0,"HOME-ARP",IF(N(Grant_Request_Amount)&gt;0,"Grant",IF(N(NHTF_Request_Amount)&gt;0,"NHTF",IF(N(TBD_Request_Amount)&gt;0,"TBD","")))),IF(N(Grant_Request_Amount)&gt;0,"Grant",IF(N(NHTF_Request_Amount)&gt;0,"NHTF",IF(N(TBD_Request_Amount)&gt;0,"TBD",""))),IF(N(NHTF_Request_Amount)&gt;0,"NHTF",IF(N(TBD_Request_Amount)&gt;0,"TBD","")),IF(N(TBD_Request_Amount)&gt;0,"TBD",""),"")</f>
        <v/>
      </c>
      <c r="D6" s="372" t="str">
        <f>CHOOSE(N(A6)+1,"",Workforce_Request_Amount,SAIL_Request_Amount,ELI_Request_Amount,HOME_Request_Amount,ARP_Request_Amount,Grant_Request_Amount,NHTF_Request_Amount,TBD_Request_Amount,"")</f>
        <v/>
      </c>
      <c r="F6" s="371" t="str">
        <f>CHOOSE(N(A6)+1,"Enter request on Funding Tab","FHFC - Workforce","FHFC - SAIL","FHFC - SAIL ELI","FHFC - HOME","FHFC - HOME-ARP","FHFC - Grant","FHFC - NHTF","FHFC - TBD","")</f>
        <v>Enter request on Funding Tab</v>
      </c>
      <c r="G6" s="372" t="str">
        <f>CHOOSE(N(A6)+1,"",Max_Workforce,Max_SAIL,Max_ELI,Max_HOME,Max_ARP,Max_Grant,Max_NHTF,Max_TBD,"")</f>
        <v/>
      </c>
      <c r="I6" s="1801" t="str">
        <f>IF(DS_FHFC_Source_2_Amt&gt;DS_FHFC_Source_2_Max_Amt,"The "&amp;TEXT(DS_FHFC_Source_2_Name,"0")&amp;" request amount has been adjusted to the Maximum of "&amp;TEXT(DS_FHFC_Source_2_Max_Amt,"$#,##0")&amp;".","")</f>
        <v/>
      </c>
      <c r="J6" s="1801"/>
      <c r="K6" s="1801"/>
      <c r="L6" s="1801"/>
      <c r="M6" s="1801"/>
      <c r="N6" s="1801"/>
      <c r="O6" s="1801"/>
    </row>
    <row r="7" spans="1:15">
      <c r="A7" s="371" t="str">
        <f t="shared" si="0"/>
        <v/>
      </c>
      <c r="B7" s="1185" t="str">
        <f>CHOOSE(N(A6)+1,"",IF(N(SAIL_Request_Amount)&gt;0,"SAIL",IF(N(ELI_Request_Amount)&gt;0,"ELI",IF(N(HOME_Request_Amount)&gt;0,"HOME",IF(N(ARP_Request_Amount)&gt;0,"HOME-ARP",IF(N(Grant_Request_Amount)&gt;0,"Grant",IF(N(NHTF_Request_Amount)&gt;0,"NHTF",IF(N(TBD_Request_Amount)&gt;0,"TBD",""))))))),IF(N(ELI_Request_Amount)&gt;0,"ELI",IF(N(HOME_Request_Amount)&gt;0,"HOME",IF(N(ARP_Request_Amount)&gt;0,"HOME-ARP",IF(N(Grant_Request_Amount)&gt;0,"Grant",IF(N(NHTF_Request_Amount)&gt;0,"NHTF",IF(N(TBD_Request_Amount)&gt;0,"TBD","")))))),IF(N(HOME_Request_Amount)&gt;0,"HOME",IF(N(ARP_Request_Amount)&gt;0,"HOME-ARP",IF(N(Grant_Request_Amount)&gt;0,"Grant",IF(N(NHTF_Request_Amount)&gt;0,"NHTF",IF(N(TBD_Request_Amount)&gt;0,"TBD",""))))),IF(N(ARP_Request_Amount)&gt;0,"HOME-ARP",IF(N(Grant_Request_Amount)&gt;0,"Grant",IF(N(NHTF_Request_Amount)&gt;0,"NHTF",IF(N(TBD_Request_Amount)&gt;0,"TBD","")))),IF(N(Grant_Request_Amount)&gt;0,"Grant",IF(N(NHTF_Request_Amount)&gt;0,"NHTF",IF(N(TBD_Request_Amount)&gt;0,"TBD",""))),IF(N(NHTF_Request_Amount)&gt;0,"NHTF",IF(N(TBD_Request_Amount)&gt;0,"TBD","")),IF(N(TBD_Request_Amount)&gt;0,"TBD",""),"")</f>
        <v/>
      </c>
      <c r="D7" s="372" t="str">
        <f>CHOOSE(N(A7)+1,"",Workforce_Request_Amount,SAIL_Request_Amount,ELI_Request_Amount,HOME_Request_Amount,ARP_Request_Amount,Grant_Request_Amount,NHTF_Request_Amount,TBD_Request_Amount,"")</f>
        <v/>
      </c>
      <c r="F7" s="371" t="str">
        <f>CHOOSE(N(A7)+1,"Enter request on Funding Tab","FHFC - Workforce","FHFC - SAIL","FHFC - SAIL ELI","FHFC - HOME","FHFC - HOME-ARP","FHFC - Grant","FHFC - NHTF","FHFC - TBD","")</f>
        <v>Enter request on Funding Tab</v>
      </c>
      <c r="G7" s="372" t="str">
        <f>CHOOSE(N(A7)+1,"",Max_Workforce,Max_SAIL,Max_ELI,Max_HOME,Max_ARP,Max_Grant,Max_NHTF,Max_TBD,"")</f>
        <v/>
      </c>
      <c r="I7" s="1801" t="str">
        <f>IF(DS_FHFC_Source_3_Amt&gt;DS_FHFC_Source_3_Max_Amt,"The "&amp;TEXT(DS_FHFC_Source_3_Name,"0")&amp;" request amount has been adjusted to the Maximum of "&amp;TEXT(DS_FHFC_Source_3_Max_Amt,"$#,##0")&amp;".","")</f>
        <v/>
      </c>
      <c r="J7" s="1801"/>
      <c r="K7" s="1801"/>
      <c r="L7" s="1801"/>
      <c r="M7" s="1801"/>
      <c r="N7" s="1801"/>
      <c r="O7" s="1801"/>
    </row>
    <row r="8" spans="1:15">
      <c r="A8" s="371" t="str">
        <f t="shared" si="0"/>
        <v/>
      </c>
      <c r="B8" s="1185" t="str">
        <f>CHOOSE(N(A7)+1,"",IF(N(SAIL_Request_Amount)&gt;0,"SAIL",IF(N(ELI_Request_Amount)&gt;0,"ELI",IF(N(HOME_Request_Amount)&gt;0,"HOME",IF(N(ARP_Request_Amount)&gt;0,"HOME-ARP",IF(N(Grant_Request_Amount)&gt;0,"Grant",IF(N(NHTF_Request_Amount)&gt;0,"NHTF",IF(N(TBD_Request_Amount)&gt;0,"TBD",""))))))),IF(N(ELI_Request_Amount)&gt;0,"ELI",IF(N(HOME_Request_Amount)&gt;0,"HOME",IF(N(ARP_Request_Amount)&gt;0,"HOME-ARP",IF(N(Grant_Request_Amount)&gt;0,"Grant",IF(N(NHTF_Request_Amount)&gt;0,"NHTF",IF(N(TBD_Request_Amount)&gt;0,"TBD","")))))),IF(N(HOME_Request_Amount)&gt;0,"HOME",IF(N(ARP_Request_Amount)&gt;0,"HOME-ARP",IF(N(Grant_Request_Amount)&gt;0,"Grant",IF(N(NHTF_Request_Amount)&gt;0,"NHTF",IF(N(TBD_Request_Amount)&gt;0,"TBD",""))))),IF(N(ARP_Request_Amount)&gt;0,"HOME-ARP",IF(N(Grant_Request_Amount)&gt;0,"Grant",IF(N(NHTF_Request_Amount)&gt;0,"NHTF",IF(N(TBD_Request_Amount)&gt;0,"TBD","")))),IF(N(Grant_Request_Amount)&gt;0,"Grant",IF(N(NHTF_Request_Amount)&gt;0,"NHTF",IF(N(TBD_Request_Amount)&gt;0,"TBD",""))),IF(N(NHTF_Request_Amount)&gt;0,"NHTF",IF(N(TBD_Request_Amount)&gt;0,"TBD","")),IF(N(TBD_Request_Amount)&gt;0,"TBD",""),"")</f>
        <v/>
      </c>
      <c r="D8" s="372" t="str">
        <f>CHOOSE(N(A8)+1,"",Workforce_Request_Amount,SAIL_Request_Amount,ELI_Request_Amount,HOME_Request_Amount,ARP_Request_Amount,Grant_Request_Amount,NHTF_Request_Amount,TBD_Request_Amount,"")</f>
        <v/>
      </c>
      <c r="F8" s="371" t="str">
        <f>CHOOSE(N(A8)+1,"Enter request on Funding Tab","FHFC - Workforce","FHFC - SAIL","FHFC - SAIL ELI","FHFC - HOME","FHFC - HOME-ARP","FHFC - Grant","FHFC - NHTF","FHFC - TBD","")</f>
        <v>Enter request on Funding Tab</v>
      </c>
      <c r="G8" s="372" t="str">
        <f>CHOOSE(N(A8)+1,"",Max_Workforce,Max_SAIL,Max_ELI,Max_HOME,Max_ARP,Max_Grant,Max_NHTF,Max_TBD,"")</f>
        <v/>
      </c>
      <c r="I8" s="1801" t="str">
        <f>IF(DS_FHFC_Source_4_Amt&gt;DS_FHFC_Source_4_Max_Amt,"The "&amp;TEXT(DS_FHFC_Source_4_Name,"0")&amp;" request amount has been adjusted to the Maximum of "&amp;TEXT(DS_FHFC_Source_4_Max_Amt,"$#,##0")&amp;".","")</f>
        <v/>
      </c>
      <c r="J8" s="1801"/>
      <c r="K8" s="1801"/>
      <c r="L8" s="1801"/>
      <c r="M8" s="1801"/>
      <c r="N8" s="1801"/>
      <c r="O8" s="1801"/>
    </row>
    <row r="22" spans="1:29" ht="30" customHeight="1">
      <c r="A22" s="1802" t="s">
        <v>189</v>
      </c>
      <c r="B22" s="1803"/>
      <c r="D22" s="157" t="s">
        <v>190</v>
      </c>
      <c r="F22" s="1802" t="s">
        <v>191</v>
      </c>
      <c r="G22" s="1803"/>
      <c r="I22" s="1802" t="s">
        <v>192</v>
      </c>
      <c r="J22" s="1803"/>
      <c r="L22" s="1802" t="s">
        <v>193</v>
      </c>
      <c r="M22" s="1803"/>
      <c r="O22" s="456" t="str">
        <f>"QCTs in "&amp;County</f>
        <v>QCTs in &lt;select one&gt;</v>
      </c>
      <c r="Q22" s="456" t="str">
        <f>"GAOs in "&amp;County</f>
        <v>GAOs in &lt;select one&gt;</v>
      </c>
      <c r="S22" s="1326" t="s">
        <v>709</v>
      </c>
      <c r="T22" s="1326" t="s">
        <v>1781</v>
      </c>
      <c r="U22" s="1326" t="s">
        <v>1782</v>
      </c>
      <c r="V22" s="1326" t="s">
        <v>1783</v>
      </c>
      <c r="W22" s="1326" t="s">
        <v>1784</v>
      </c>
      <c r="X22" s="1326" t="s">
        <v>1785</v>
      </c>
      <c r="Y22" s="1326" t="s">
        <v>1786</v>
      </c>
      <c r="Z22" s="1326" t="s">
        <v>2</v>
      </c>
      <c r="AA22" s="1326" t="s">
        <v>1787</v>
      </c>
      <c r="AB22" s="1326" t="s">
        <v>1788</v>
      </c>
      <c r="AC22" s="1326" t="s">
        <v>1789</v>
      </c>
    </row>
    <row r="23" spans="1:29" ht="14.4" customHeight="1">
      <c r="A23" s="649">
        <v>32605</v>
      </c>
      <c r="B23" s="650" t="s">
        <v>27</v>
      </c>
      <c r="D23" s="650" t="s">
        <v>35</v>
      </c>
      <c r="F23" s="650">
        <v>2</v>
      </c>
      <c r="G23" s="650" t="s">
        <v>27</v>
      </c>
      <c r="I23" s="650">
        <v>1103</v>
      </c>
      <c r="J23" s="650" t="s">
        <v>46</v>
      </c>
      <c r="L23" s="654">
        <v>5</v>
      </c>
      <c r="M23" s="654" t="s">
        <v>27</v>
      </c>
      <c r="N23" s="208"/>
      <c r="O23" s="655" t="str">
        <f t="array" ref="O23">IFERROR(IF(QCT_metro_or_nonmetro="Metro",INDEX($F$23:$F$748,SMALL(IF((County=$G$23:$G$748),MATCH(ROW($G$23:$G$748),ROW($G$23:$G$748)),""),ROWS($A$23:A23))),INDEX($I$23:$I$52,SMALL(IF((County=$J$23:$J$52),MATCH(ROW($J$23:$J$52),ROW($J$23:$J$52)),""),ROWS($A$23:A23)))),"")</f>
        <v/>
      </c>
      <c r="Q23" s="655" t="str">
        <f t="array" ref="Q23">IFERROR(IF(Geo_Area_of_Opp_boost="Yes",INDEX($L$23:$L$2323,SMALL(IF((County=$M$23:$M$2323),MATCH(ROW($M$23:$M$2323),ROW($M$23:$M$2323)),""),ROWS($A$23:A23))),""),"")</f>
        <v/>
      </c>
      <c r="S23" s="1528" t="s">
        <v>27</v>
      </c>
      <c r="T23" s="1528" t="s">
        <v>1790</v>
      </c>
      <c r="U23" s="1528" t="s">
        <v>1791</v>
      </c>
      <c r="V23" s="1529">
        <v>29.794627999999999</v>
      </c>
      <c r="W23" s="1530">
        <v>-82.486896999999999</v>
      </c>
      <c r="X23" s="1531" t="s">
        <v>1792</v>
      </c>
      <c r="Y23" s="1341" t="s">
        <v>715</v>
      </c>
      <c r="Z23" s="1340" t="str">
        <f t="shared" ref="Z23:Z54" si="1">S23&amp;" - "&amp;U23</f>
        <v>Alachua - Arbours at Merrillwood I</v>
      </c>
      <c r="AA23" s="1340" t="str">
        <f t="shared" ref="AA23:AA54" si="2">IF(X23="F","Family",IF(X23="E","Elderly, Non-ALF",IF(X23="ALF","Elderly, Assisted Living Facility",IF(X23="W","Workforce",""))))</f>
        <v>Elderly, Non-ALF</v>
      </c>
      <c r="AB23" s="1340" t="str">
        <f t="shared" ref="AB23:AB54" si="3">"("&amp;V23&amp;", "&amp;W23&amp;")"</f>
        <v>(29.794628, -82.486897)</v>
      </c>
      <c r="AC23" s="1341" t="str">
        <f t="shared" ref="AC23:AC54" si="4">IF(Y23="N","&gt;30",IF(Y23="Y","&lt;31",""))</f>
        <v>&gt;30</v>
      </c>
    </row>
    <row r="24" spans="1:29" ht="14.4" customHeight="1">
      <c r="A24" s="649">
        <v>32606</v>
      </c>
      <c r="B24" s="650" t="s">
        <v>27</v>
      </c>
      <c r="D24" s="650" t="s">
        <v>40</v>
      </c>
      <c r="E24" s="1"/>
      <c r="F24" s="650">
        <v>8.06</v>
      </c>
      <c r="G24" s="650" t="s">
        <v>27</v>
      </c>
      <c r="I24" s="650">
        <v>1104</v>
      </c>
      <c r="J24" s="650" t="s">
        <v>46</v>
      </c>
      <c r="L24" s="654">
        <v>10</v>
      </c>
      <c r="M24" s="654" t="s">
        <v>27</v>
      </c>
      <c r="N24" s="208"/>
      <c r="O24" s="655" t="str">
        <f t="array" ref="O24">IFERROR(IF(QCT_metro_or_nonmetro="Metro",INDEX($F$23:$F$748,SMALL(IF((County=$G$23:$G$748),MATCH(ROW($G$23:$G$748),ROW($G$23:$G$748)),""),ROWS($A$23:A24))),INDEX($I$23:$I$52,SMALL(IF((County=$J$23:$J$52),MATCH(ROW($J$23:$J$52),ROW($J$23:$J$52)),""),ROWS($A$23:A24)))),"")</f>
        <v/>
      </c>
      <c r="Q24" s="655" t="str">
        <f t="array" ref="Q24">IFERROR(IF(Geo_Area_of_Opp_boost="Yes",INDEX($L$23:$L$2323,SMALL(IF((County=$M$23:$M$2323),MATCH(ROW($M$23:$M$2323),ROW($M$23:$M$2323)),""),ROWS($A$23:A24))),""),"")</f>
        <v/>
      </c>
      <c r="S24" s="1532" t="s">
        <v>27</v>
      </c>
      <c r="T24" s="1532" t="s">
        <v>1793</v>
      </c>
      <c r="U24" s="1528" t="s">
        <v>1794</v>
      </c>
      <c r="V24" s="1528">
        <v>29.643353999999999</v>
      </c>
      <c r="W24" s="1528">
        <v>-82.305537000000001</v>
      </c>
      <c r="X24" s="1531" t="s">
        <v>1795</v>
      </c>
      <c r="Y24" s="1533" t="s">
        <v>715</v>
      </c>
      <c r="Z24" s="1340" t="str">
        <f t="shared" si="1"/>
        <v>Alachua - Dogwood Village</v>
      </c>
      <c r="AA24" s="1340" t="str">
        <f t="shared" si="2"/>
        <v>Family</v>
      </c>
      <c r="AB24" s="1340" t="str">
        <f t="shared" si="3"/>
        <v>(29.643354, -82.305537)</v>
      </c>
      <c r="AC24" s="1341" t="str">
        <f t="shared" si="4"/>
        <v>&gt;30</v>
      </c>
    </row>
    <row r="25" spans="1:29" ht="14.4" customHeight="1">
      <c r="A25" s="649">
        <v>32403</v>
      </c>
      <c r="B25" s="650" t="s">
        <v>33</v>
      </c>
      <c r="D25" s="650" t="s">
        <v>46</v>
      </c>
      <c r="E25" s="1"/>
      <c r="F25" s="650">
        <v>9.01</v>
      </c>
      <c r="G25" s="650" t="s">
        <v>27</v>
      </c>
      <c r="I25" s="650">
        <v>102</v>
      </c>
      <c r="J25" s="650" t="s">
        <v>48</v>
      </c>
      <c r="L25" s="654">
        <v>11</v>
      </c>
      <c r="M25" s="654" t="s">
        <v>27</v>
      </c>
      <c r="N25" s="208"/>
      <c r="O25" s="655" t="str">
        <f t="array" ref="O25">IFERROR(IF(QCT_metro_or_nonmetro="Metro",INDEX($F$23:$F$748,SMALL(IF((County=$G$23:$G$748),MATCH(ROW($G$23:$G$748),ROW($G$23:$G$748)),""),ROWS($A$23:A25))),INDEX($I$23:$I$52,SMALL(IF((County=$J$23:$J$52),MATCH(ROW($J$23:$J$52),ROW($J$23:$J$52)),""),ROWS($A$23:A25)))),"")</f>
        <v/>
      </c>
      <c r="Q25" s="655" t="str">
        <f t="array" ref="Q25">IFERROR(IF(Geo_Area_of_Opp_boost="Yes",INDEX($L$23:$L$2323,SMALL(IF((County=$M$23:$M$2323),MATCH(ROW($M$23:$M$2323),ROW($M$23:$M$2323)),""),ROWS($A$23:A25))),""),"")</f>
        <v/>
      </c>
      <c r="S25" s="1528" t="s">
        <v>27</v>
      </c>
      <c r="T25" s="1528" t="s">
        <v>1796</v>
      </c>
      <c r="U25" s="1528" t="s">
        <v>1797</v>
      </c>
      <c r="V25" s="1534">
        <v>29.655552</v>
      </c>
      <c r="W25" s="1530">
        <v>-82.381442000000007</v>
      </c>
      <c r="X25" s="1531" t="s">
        <v>1795</v>
      </c>
      <c r="Y25" s="1531" t="s">
        <v>715</v>
      </c>
      <c r="Z25" s="1340" t="str">
        <f t="shared" si="1"/>
        <v>Alachua - Royal Park Apartments</v>
      </c>
      <c r="AA25" s="1340" t="str">
        <f t="shared" si="2"/>
        <v>Family</v>
      </c>
      <c r="AB25" s="1340" t="str">
        <f t="shared" si="3"/>
        <v>(29.655552, -82.381442)</v>
      </c>
      <c r="AC25" s="1341" t="str">
        <f t="shared" si="4"/>
        <v>&gt;30</v>
      </c>
    </row>
    <row r="26" spans="1:29" ht="14.4" customHeight="1">
      <c r="A26" s="649">
        <v>32407</v>
      </c>
      <c r="B26" s="650" t="s">
        <v>33</v>
      </c>
      <c r="D26" s="650" t="s">
        <v>48</v>
      </c>
      <c r="E26" s="1"/>
      <c r="F26" s="650">
        <v>15.14</v>
      </c>
      <c r="G26" s="650" t="s">
        <v>27</v>
      </c>
      <c r="I26" s="650">
        <v>103.01</v>
      </c>
      <c r="J26" s="650" t="s">
        <v>48</v>
      </c>
      <c r="L26" s="654">
        <v>12.01</v>
      </c>
      <c r="M26" s="654" t="s">
        <v>27</v>
      </c>
      <c r="N26" s="208"/>
      <c r="O26" s="655" t="str">
        <f t="array" ref="O26">IFERROR(IF(QCT_metro_or_nonmetro="Metro",INDEX($F$23:$F$748,SMALL(IF((County=$G$23:$G$748),MATCH(ROW($G$23:$G$748),ROW($G$23:$G$748)),""),ROWS($A$23:A26))),INDEX($I$23:$I$52,SMALL(IF((County=$J$23:$J$52),MATCH(ROW($J$23:$J$52),ROW($J$23:$J$52)),""),ROWS($A$23:A26)))),"")</f>
        <v/>
      </c>
      <c r="Q26" s="655" t="str">
        <f t="array" ref="Q26">IFERROR(IF(Geo_Area_of_Opp_boost="Yes",INDEX($L$23:$L$2323,SMALL(IF((County=$M$23:$M$2323),MATCH(ROW($M$23:$M$2323),ROW($M$23:$M$2323)),""),ROWS($A$23:A26))),""),"")</f>
        <v/>
      </c>
      <c r="S26" s="1528" t="s">
        <v>30</v>
      </c>
      <c r="T26" s="1528" t="s">
        <v>1798</v>
      </c>
      <c r="U26" s="1528" t="s">
        <v>1799</v>
      </c>
      <c r="V26" s="1528">
        <v>30.25507</v>
      </c>
      <c r="W26" s="1528">
        <v>-82.127399999999994</v>
      </c>
      <c r="X26" s="1341" t="s">
        <v>1795</v>
      </c>
      <c r="Y26" s="1341" t="s">
        <v>716</v>
      </c>
      <c r="Z26" s="1340" t="str">
        <f t="shared" si="1"/>
        <v>Baker - Sandcastle Manor</v>
      </c>
      <c r="AA26" s="1340" t="str">
        <f t="shared" si="2"/>
        <v>Family</v>
      </c>
      <c r="AB26" s="1340" t="str">
        <f t="shared" si="3"/>
        <v>(30.25507, -82.1274)</v>
      </c>
      <c r="AC26" s="1341" t="str">
        <f t="shared" si="4"/>
        <v>&lt;31</v>
      </c>
    </row>
    <row r="27" spans="1:29" ht="14.4" customHeight="1">
      <c r="A27" s="649">
        <v>32410</v>
      </c>
      <c r="B27" s="650" t="s">
        <v>33</v>
      </c>
      <c r="D27" s="650" t="s">
        <v>49</v>
      </c>
      <c r="E27" s="1"/>
      <c r="F27" s="650">
        <v>15.15</v>
      </c>
      <c r="G27" s="650" t="s">
        <v>27</v>
      </c>
      <c r="I27" s="650">
        <v>103.02</v>
      </c>
      <c r="J27" s="650" t="s">
        <v>48</v>
      </c>
      <c r="L27" s="654">
        <v>12.02</v>
      </c>
      <c r="M27" s="654" t="s">
        <v>27</v>
      </c>
      <c r="N27" s="208"/>
      <c r="O27" s="655" t="str">
        <f t="array" ref="O27">IFERROR(IF(QCT_metro_or_nonmetro="Metro",INDEX($F$23:$F$748,SMALL(IF((County=$G$23:$G$748),MATCH(ROW($G$23:$G$748),ROW($G$23:$G$748)),""),ROWS($A$23:A27))),INDEX($I$23:$I$52,SMALL(IF((County=$J$23:$J$52),MATCH(ROW($J$23:$J$52),ROW($J$23:$J$52)),""),ROWS($A$23:A27)))),"")</f>
        <v/>
      </c>
      <c r="Q27" s="655" t="str">
        <f t="array" ref="Q27">IFERROR(IF(Geo_Area_of_Opp_boost="Yes",INDEX($L$23:$L$2323,SMALL(IF((County=$M$23:$M$2323),MATCH(ROW($M$23:$M$2323),ROW($M$23:$M$2323)),""),ROWS($A$23:A27))),""),"")</f>
        <v/>
      </c>
      <c r="S27" s="1532" t="s">
        <v>33</v>
      </c>
      <c r="T27" s="1532" t="s">
        <v>1800</v>
      </c>
      <c r="U27" s="1528" t="s">
        <v>1801</v>
      </c>
      <c r="V27" s="1528">
        <v>30.167531</v>
      </c>
      <c r="W27" s="1528">
        <v>-85.671896000000004</v>
      </c>
      <c r="X27" s="1531" t="s">
        <v>1795</v>
      </c>
      <c r="Y27" s="1533" t="s">
        <v>715</v>
      </c>
      <c r="Z27" s="1340" t="str">
        <f t="shared" si="1"/>
        <v>Bay - Fletcher Black II</v>
      </c>
      <c r="AA27" s="1340" t="str">
        <f t="shared" si="2"/>
        <v>Family</v>
      </c>
      <c r="AB27" s="1340" t="str">
        <f t="shared" si="3"/>
        <v>(30.167531, -85.671896)</v>
      </c>
      <c r="AC27" s="1341" t="str">
        <f t="shared" si="4"/>
        <v>&gt;30</v>
      </c>
    </row>
    <row r="28" spans="1:29" ht="14.4" customHeight="1">
      <c r="A28" s="649" t="s">
        <v>1928</v>
      </c>
      <c r="B28" s="650" t="s">
        <v>36</v>
      </c>
      <c r="D28" s="650" t="s">
        <v>54</v>
      </c>
      <c r="E28" s="1"/>
      <c r="F28" s="650">
        <v>15.16</v>
      </c>
      <c r="G28" s="650" t="s">
        <v>27</v>
      </c>
      <c r="I28" s="650">
        <v>9602</v>
      </c>
      <c r="J28" s="650" t="s">
        <v>59</v>
      </c>
      <c r="L28" s="654">
        <v>12.03</v>
      </c>
      <c r="M28" s="654" t="s">
        <v>27</v>
      </c>
      <c r="N28" s="208"/>
      <c r="O28" s="655" t="str">
        <f t="array" ref="O28">IFERROR(IF(QCT_metro_or_nonmetro="Metro",INDEX($F$23:$F$748,SMALL(IF((County=$G$23:$G$748),MATCH(ROW($G$23:$G$748),ROW($G$23:$G$748)),""),ROWS($A$23:A28))),INDEX($I$23:$I$52,SMALL(IF((County=$J$23:$J$52),MATCH(ROW($J$23:$J$52),ROW($J$23:$J$52)),""),ROWS($A$23:A28)))),"")</f>
        <v/>
      </c>
      <c r="Q28" s="655" t="str">
        <f t="array" ref="Q28">IFERROR(IF(Geo_Area_of_Opp_boost="Yes",INDEX($L$23:$L$2323,SMALL(IF((County=$M$23:$M$2323),MATCH(ROW($M$23:$M$2323),ROW($M$23:$M$2323)),""),ROWS($A$23:A28))),""),"")</f>
        <v/>
      </c>
      <c r="S28" s="1532" t="s">
        <v>33</v>
      </c>
      <c r="T28" s="1532" t="s">
        <v>1802</v>
      </c>
      <c r="U28" s="1528" t="s">
        <v>1803</v>
      </c>
      <c r="V28" s="1528">
        <v>30.163022999999999</v>
      </c>
      <c r="W28" s="1528">
        <v>-85.610293999999996</v>
      </c>
      <c r="X28" s="1531" t="s">
        <v>1792</v>
      </c>
      <c r="Y28" s="1533" t="s">
        <v>715</v>
      </c>
      <c r="Z28" s="1340" t="str">
        <f t="shared" si="1"/>
        <v>Bay - Southview Estates</v>
      </c>
      <c r="AA28" s="1340" t="str">
        <f t="shared" si="2"/>
        <v>Elderly, Non-ALF</v>
      </c>
      <c r="AB28" s="1340" t="str">
        <f t="shared" si="3"/>
        <v>(30.163023, -85.610294)</v>
      </c>
      <c r="AC28" s="1341" t="str">
        <f t="shared" si="4"/>
        <v>&gt;30</v>
      </c>
    </row>
    <row r="29" spans="1:29" ht="14.4" customHeight="1">
      <c r="A29" s="649">
        <v>32904</v>
      </c>
      <c r="B29" s="650" t="s">
        <v>36</v>
      </c>
      <c r="D29" s="650" t="s">
        <v>57</v>
      </c>
      <c r="E29" s="1"/>
      <c r="F29" s="650">
        <v>15.17</v>
      </c>
      <c r="G29" s="650" t="s">
        <v>27</v>
      </c>
      <c r="I29" s="650">
        <v>9603</v>
      </c>
      <c r="J29" s="650" t="s">
        <v>59</v>
      </c>
      <c r="L29" s="654">
        <v>15.14</v>
      </c>
      <c r="M29" s="654" t="s">
        <v>27</v>
      </c>
      <c r="N29" s="208"/>
      <c r="O29" s="655" t="str">
        <f t="array" ref="O29">IFERROR(IF(QCT_metro_or_nonmetro="Metro",INDEX($F$23:$F$748,SMALL(IF((County=$G$23:$G$748),MATCH(ROW($G$23:$G$748),ROW($G$23:$G$748)),""),ROWS($A$23:A29))),INDEX($I$23:$I$52,SMALL(IF((County=$J$23:$J$52),MATCH(ROW($J$23:$J$52),ROW($J$23:$J$52)),""),ROWS($A$23:A29)))),"")</f>
        <v/>
      </c>
      <c r="Q29" s="655" t="str">
        <f t="array" ref="Q29">IFERROR(IF(Geo_Area_of_Opp_boost="Yes",INDEX($L$23:$L$2323,SMALL(IF((County=$M$23:$M$2323),MATCH(ROW($M$23:$M$2323),ROW($M$23:$M$2323)),""),ROWS($A$23:A29))),""),"")</f>
        <v/>
      </c>
      <c r="S29" s="1528" t="s">
        <v>35</v>
      </c>
      <c r="T29" s="1528" t="s">
        <v>1804</v>
      </c>
      <c r="U29" s="1528" t="s">
        <v>1805</v>
      </c>
      <c r="V29" s="1340">
        <v>29.949075000000001</v>
      </c>
      <c r="W29" s="1340">
        <v>-82.120084000000006</v>
      </c>
      <c r="X29" s="1531" t="s">
        <v>1795</v>
      </c>
      <c r="Y29" s="1341" t="s">
        <v>716</v>
      </c>
      <c r="Z29" s="1340" t="str">
        <f t="shared" si="1"/>
        <v>Bradford - Sandcastle Pines</v>
      </c>
      <c r="AA29" s="1340" t="str">
        <f t="shared" si="2"/>
        <v>Family</v>
      </c>
      <c r="AB29" s="1340" t="str">
        <f t="shared" si="3"/>
        <v>(29.949075, -82.120084)</v>
      </c>
      <c r="AC29" s="1341" t="str">
        <f t="shared" si="4"/>
        <v>&lt;31</v>
      </c>
    </row>
    <row r="30" spans="1:29" ht="14.4" customHeight="1">
      <c r="A30" s="649">
        <v>32908</v>
      </c>
      <c r="B30" s="650" t="s">
        <v>36</v>
      </c>
      <c r="D30" s="650" t="s">
        <v>59</v>
      </c>
      <c r="E30" s="1"/>
      <c r="F30" s="650">
        <v>15.19</v>
      </c>
      <c r="G30" s="650" t="s">
        <v>27</v>
      </c>
      <c r="I30" s="650">
        <v>9701.02</v>
      </c>
      <c r="J30" s="650" t="s">
        <v>60</v>
      </c>
      <c r="L30" s="654">
        <v>15.17</v>
      </c>
      <c r="M30" s="654" t="s">
        <v>27</v>
      </c>
      <c r="N30" s="208"/>
      <c r="O30" s="655" t="str">
        <f t="array" ref="O30">IFERROR(IF(QCT_metro_or_nonmetro="Metro",INDEX($F$23:$F$748,SMALL(IF((County=$G$23:$G$748),MATCH(ROW($G$23:$G$748),ROW($G$23:$G$748)),""),ROWS($A$23:A30))),INDEX($I$23:$I$52,SMALL(IF((County=$J$23:$J$52),MATCH(ROW($J$23:$J$52),ROW($J$23:$J$52)),""),ROWS($A$23:A30)))),"")</f>
        <v/>
      </c>
      <c r="Q30" s="655" t="str">
        <f t="array" ref="Q30">IFERROR(IF(Geo_Area_of_Opp_boost="Yes",INDEX($L$23:$L$2323,SMALL(IF((County=$M$23:$M$2323),MATCH(ROW($M$23:$M$2323),ROW($M$23:$M$2323)),""),ROWS($A$23:A30))),""),"")</f>
        <v/>
      </c>
      <c r="S30" s="1532" t="s">
        <v>35</v>
      </c>
      <c r="T30" s="1532" t="s">
        <v>1806</v>
      </c>
      <c r="U30" s="1528" t="s">
        <v>1807</v>
      </c>
      <c r="V30" s="1528">
        <v>29.953863999999999</v>
      </c>
      <c r="W30" s="1528">
        <v>-82.119349999999997</v>
      </c>
      <c r="X30" s="1531" t="s">
        <v>1795</v>
      </c>
      <c r="Y30" s="1533" t="s">
        <v>715</v>
      </c>
      <c r="Z30" s="1340" t="str">
        <f t="shared" si="1"/>
        <v>Bradford - Weldon Crossings</v>
      </c>
      <c r="AA30" s="1340" t="str">
        <f t="shared" si="2"/>
        <v>Family</v>
      </c>
      <c r="AB30" s="1340" t="str">
        <f t="shared" si="3"/>
        <v>(29.953864, -82.11935)</v>
      </c>
      <c r="AC30" s="1341" t="str">
        <f t="shared" si="4"/>
        <v>&gt;30</v>
      </c>
    </row>
    <row r="31" spans="1:29" ht="14.4" customHeight="1">
      <c r="A31" s="649">
        <v>32925</v>
      </c>
      <c r="B31" s="650" t="s">
        <v>36</v>
      </c>
      <c r="D31" s="650" t="s">
        <v>60</v>
      </c>
      <c r="E31" s="1"/>
      <c r="F31" s="650">
        <v>15.21</v>
      </c>
      <c r="G31" s="650" t="s">
        <v>27</v>
      </c>
      <c r="I31" s="650">
        <v>9702.01</v>
      </c>
      <c r="J31" s="650" t="s">
        <v>60</v>
      </c>
      <c r="L31" s="654">
        <v>16.03</v>
      </c>
      <c r="M31" s="654" t="s">
        <v>27</v>
      </c>
      <c r="N31" s="208"/>
      <c r="O31" s="655" t="str">
        <f t="array" ref="O31">IFERROR(IF(QCT_metro_or_nonmetro="Metro",INDEX($F$23:$F$748,SMALL(IF((County=$G$23:$G$748),MATCH(ROW($G$23:$G$748),ROW($G$23:$G$748)),""),ROWS($A$23:A31))),INDEX($I$23:$I$52,SMALL(IF((County=$J$23:$J$52),MATCH(ROW($J$23:$J$52),ROW($J$23:$J$52)),""),ROWS($A$23:A31)))),"")</f>
        <v/>
      </c>
      <c r="Q31" s="655" t="str">
        <f t="array" ref="Q31">IFERROR(IF(Geo_Area_of_Opp_boost="Yes",INDEX($L$23:$L$2323,SMALL(IF((County=$M$23:$M$2323),MATCH(ROW($M$23:$M$2323),ROW($M$23:$M$2323)),""),ROWS($A$23:A31))),""),"")</f>
        <v/>
      </c>
      <c r="S31" s="1532" t="s">
        <v>42</v>
      </c>
      <c r="T31" s="1532" t="s">
        <v>1809</v>
      </c>
      <c r="U31" s="1528" t="s">
        <v>1810</v>
      </c>
      <c r="V31" s="1528">
        <v>26.917735</v>
      </c>
      <c r="W31" s="1535">
        <v>-82.042008999999993</v>
      </c>
      <c r="X31" s="1531" t="s">
        <v>1795</v>
      </c>
      <c r="Y31" s="1533" t="s">
        <v>715</v>
      </c>
      <c r="Z31" s="1340" t="str">
        <f t="shared" si="1"/>
        <v>Charlotte - The Verandas of Punta Gorda III</v>
      </c>
      <c r="AA31" s="1340" t="str">
        <f t="shared" si="2"/>
        <v>Family</v>
      </c>
      <c r="AB31" s="1340" t="str">
        <f t="shared" si="3"/>
        <v>(26.917735, -82.042009)</v>
      </c>
      <c r="AC31" s="1341" t="str">
        <f t="shared" si="4"/>
        <v>&gt;30</v>
      </c>
    </row>
    <row r="32" spans="1:29" ht="14.4" customHeight="1">
      <c r="A32" s="649">
        <v>32934</v>
      </c>
      <c r="B32" s="650" t="s">
        <v>36</v>
      </c>
      <c r="D32" s="650" t="s">
        <v>61</v>
      </c>
      <c r="E32" s="1"/>
      <c r="F32" s="650">
        <v>16.03</v>
      </c>
      <c r="G32" s="650" t="s">
        <v>27</v>
      </c>
      <c r="I32" s="650">
        <v>2</v>
      </c>
      <c r="J32" s="650" t="s">
        <v>61</v>
      </c>
      <c r="L32" s="654">
        <v>16.04</v>
      </c>
      <c r="M32" s="654" t="s">
        <v>27</v>
      </c>
      <c r="N32" s="208"/>
      <c r="O32" s="655" t="str">
        <f t="array" ref="O32">IFERROR(IF(QCT_metro_or_nonmetro="Metro",INDEX($F$23:$F$748,SMALL(IF((County=$G$23:$G$748),MATCH(ROW($G$23:$G$748),ROW($G$23:$G$748)),""),ROWS($A$23:A32))),INDEX($I$23:$I$52,SMALL(IF((County=$J$23:$J$52),MATCH(ROW($J$23:$J$52),ROW($J$23:$J$52)),""),ROWS($A$23:A32)))),"")</f>
        <v/>
      </c>
      <c r="Q32" s="655" t="str">
        <f t="array" ref="Q32">IFERROR(IF(Geo_Area_of_Opp_boost="Yes",INDEX($L$23:$L$2323,SMALL(IF((County=$M$23:$M$2323),MATCH(ROW($M$23:$M$2323),ROW($M$23:$M$2323)),""),ROWS($A$23:A32))),""),"")</f>
        <v/>
      </c>
      <c r="S32" s="1528" t="s">
        <v>44</v>
      </c>
      <c r="T32" s="1528" t="s">
        <v>1811</v>
      </c>
      <c r="U32" s="1528" t="s">
        <v>1812</v>
      </c>
      <c r="V32" s="1528">
        <v>30.095058000000002</v>
      </c>
      <c r="W32" s="1528">
        <v>-81.826986000000005</v>
      </c>
      <c r="X32" s="1531" t="s">
        <v>1795</v>
      </c>
      <c r="Y32" s="1531" t="s">
        <v>715</v>
      </c>
      <c r="Z32" s="1340" t="str">
        <f t="shared" si="1"/>
        <v>Clay - Bryce Landing</v>
      </c>
      <c r="AA32" s="1340" t="str">
        <f t="shared" si="2"/>
        <v>Family</v>
      </c>
      <c r="AB32" s="1340" t="str">
        <f t="shared" si="3"/>
        <v>(30.095058, -81.826986)</v>
      </c>
      <c r="AC32" s="1341" t="str">
        <f t="shared" si="4"/>
        <v>&gt;30</v>
      </c>
    </row>
    <row r="33" spans="1:29" ht="14.4" customHeight="1">
      <c r="A33" s="649">
        <v>32937</v>
      </c>
      <c r="B33" s="650" t="s">
        <v>36</v>
      </c>
      <c r="D33" s="650" t="s">
        <v>65</v>
      </c>
      <c r="E33" s="1"/>
      <c r="F33" s="650">
        <v>16.04</v>
      </c>
      <c r="G33" s="650" t="s">
        <v>27</v>
      </c>
      <c r="I33" s="650">
        <v>3</v>
      </c>
      <c r="J33" s="650" t="s">
        <v>61</v>
      </c>
      <c r="L33" s="654">
        <v>17.010000000000002</v>
      </c>
      <c r="M33" s="654" t="s">
        <v>27</v>
      </c>
      <c r="N33" s="208"/>
      <c r="O33" s="655" t="str">
        <f t="array" ref="O33">IFERROR(IF(QCT_metro_or_nonmetro="Metro",INDEX($F$23:$F$748,SMALL(IF((County=$G$23:$G$748),MATCH(ROW($G$23:$G$748),ROW($G$23:$G$748)),""),ROWS($A$23:A33))),INDEX($I$23:$I$52,SMALL(IF((County=$J$23:$J$52),MATCH(ROW($J$23:$J$52),ROW($J$23:$J$52)),""),ROWS($A$23:A33)))),"")</f>
        <v/>
      </c>
      <c r="Q33" s="655" t="str">
        <f t="array" ref="Q33">IFERROR(IF(Geo_Area_of_Opp_boost="Yes",INDEX($L$23:$L$2323,SMALL(IF((County=$M$23:$M$2323),MATCH(ROW($M$23:$M$2323),ROW($M$23:$M$2323)),""),ROWS($A$23:A33))),""),"")</f>
        <v/>
      </c>
      <c r="S33" s="1528" t="s">
        <v>44</v>
      </c>
      <c r="T33" s="1528" t="s">
        <v>1813</v>
      </c>
      <c r="U33" s="1528" t="s">
        <v>1814</v>
      </c>
      <c r="V33" s="1340">
        <v>30.115016000000001</v>
      </c>
      <c r="W33" s="1340">
        <v>-81.828085000000002</v>
      </c>
      <c r="X33" s="1531" t="s">
        <v>1792</v>
      </c>
      <c r="Y33" s="1341" t="s">
        <v>715</v>
      </c>
      <c r="Z33" s="1340" t="str">
        <f t="shared" si="1"/>
        <v>Clay - Molly Crossing</v>
      </c>
      <c r="AA33" s="1340" t="str">
        <f t="shared" si="2"/>
        <v>Elderly, Non-ALF</v>
      </c>
      <c r="AB33" s="1340" t="str">
        <f t="shared" si="3"/>
        <v>(30.115016, -81.828085)</v>
      </c>
      <c r="AC33" s="1341" t="str">
        <f t="shared" si="4"/>
        <v>&gt;30</v>
      </c>
    </row>
    <row r="34" spans="1:29" ht="14.4" customHeight="1">
      <c r="A34" s="649">
        <v>32940</v>
      </c>
      <c r="B34" s="650" t="s">
        <v>36</v>
      </c>
      <c r="D34" s="650" t="s">
        <v>67</v>
      </c>
      <c r="E34" s="1"/>
      <c r="F34" s="650">
        <v>18.02</v>
      </c>
      <c r="G34" s="650" t="s">
        <v>27</v>
      </c>
      <c r="I34" s="650">
        <v>6</v>
      </c>
      <c r="J34" s="650" t="s">
        <v>61</v>
      </c>
      <c r="L34" s="654">
        <v>17.02</v>
      </c>
      <c r="M34" s="654" t="s">
        <v>27</v>
      </c>
      <c r="N34" s="208"/>
      <c r="O34" s="655" t="str">
        <f t="array" ref="O34">IFERROR(IF(QCT_metro_or_nonmetro="Metro",INDEX($F$23:$F$748,SMALL(IF((County=$G$23:$G$748),MATCH(ROW($G$23:$G$748),ROW($G$23:$G$748)),""),ROWS($A$23:A34))),INDEX($I$23:$I$52,SMALL(IF((County=$J$23:$J$52),MATCH(ROW($J$23:$J$52),ROW($J$23:$J$52)),""),ROWS($A$23:A34)))),"")</f>
        <v/>
      </c>
      <c r="Q34" s="655" t="str">
        <f t="array" ref="Q34">IFERROR(IF(Geo_Area_of_Opp_boost="Yes",INDEX($L$23:$L$2323,SMALL(IF((County=$M$23:$M$2323),MATCH(ROW($M$23:$M$2323),ROW($M$23:$M$2323)),""),ROWS($A$23:A34))),""),"")</f>
        <v/>
      </c>
      <c r="S34" s="1528" t="s">
        <v>44</v>
      </c>
      <c r="T34" s="1528" t="s">
        <v>1815</v>
      </c>
      <c r="U34" s="1528" t="s">
        <v>1816</v>
      </c>
      <c r="V34" s="1340">
        <v>30.110381</v>
      </c>
      <c r="W34" s="1340">
        <v>-81.837506000000005</v>
      </c>
      <c r="X34" s="1531" t="s">
        <v>1795</v>
      </c>
      <c r="Y34" s="1341" t="s">
        <v>715</v>
      </c>
      <c r="Z34" s="1340" t="str">
        <f t="shared" si="1"/>
        <v>Clay - Nathan Ridge</v>
      </c>
      <c r="AA34" s="1340" t="str">
        <f t="shared" si="2"/>
        <v>Family</v>
      </c>
      <c r="AB34" s="1340" t="str">
        <f t="shared" si="3"/>
        <v>(30.110381, -81.837506)</v>
      </c>
      <c r="AC34" s="1341" t="str">
        <f t="shared" si="4"/>
        <v>&gt;30</v>
      </c>
    </row>
    <row r="35" spans="1:29" ht="14.4" customHeight="1">
      <c r="A35" s="649">
        <v>32951</v>
      </c>
      <c r="B35" s="650" t="s">
        <v>36</v>
      </c>
      <c r="D35" s="650" t="s">
        <v>69</v>
      </c>
      <c r="E35" s="1"/>
      <c r="F35" s="650">
        <v>19.02</v>
      </c>
      <c r="G35" s="650" t="s">
        <v>27</v>
      </c>
      <c r="I35" s="650">
        <v>9604</v>
      </c>
      <c r="J35" s="650" t="s">
        <v>65</v>
      </c>
      <c r="L35" s="654">
        <v>18.010000000000002</v>
      </c>
      <c r="M35" s="654" t="s">
        <v>27</v>
      </c>
      <c r="N35" s="208"/>
      <c r="O35" s="655" t="str">
        <f t="array" ref="O35">IFERROR(IF(QCT_metro_or_nonmetro="Metro",INDEX($F$23:$F$748,SMALL(IF((County=$G$23:$G$748),MATCH(ROW($G$23:$G$748),ROW($G$23:$G$748)),""),ROWS($A$23:A35))),INDEX($I$23:$I$52,SMALL(IF((County=$J$23:$J$52),MATCH(ROW($J$23:$J$52),ROW($J$23:$J$52)),""),ROWS($A$23:A35)))),"")</f>
        <v/>
      </c>
      <c r="Q35" s="655" t="str">
        <f t="array" ref="Q35">IFERROR(IF(Geo_Area_of_Opp_boost="Yes",INDEX($L$23:$L$2323,SMALL(IF((County=$M$23:$M$2323),MATCH(ROW($M$23:$M$2323),ROW($M$23:$M$2323)),""),ROWS($A$23:A35))),""),"")</f>
        <v/>
      </c>
      <c r="S35" s="1528" t="s">
        <v>45</v>
      </c>
      <c r="T35" s="1528" t="s">
        <v>1817</v>
      </c>
      <c r="U35" s="1528" t="s">
        <v>1818</v>
      </c>
      <c r="V35" s="1536">
        <v>26.107664</v>
      </c>
      <c r="W35" s="1536">
        <v>-81.680555999999996</v>
      </c>
      <c r="X35" s="1531" t="s">
        <v>1792</v>
      </c>
      <c r="Y35" s="1531" t="s">
        <v>715</v>
      </c>
      <c r="Z35" s="1340" t="str">
        <f t="shared" si="1"/>
        <v>Collier - Allegro at Hacienda Lakes, f/k/a Villa Verde</v>
      </c>
      <c r="AA35" s="1340" t="str">
        <f t="shared" si="2"/>
        <v>Elderly, Non-ALF</v>
      </c>
      <c r="AB35" s="1340" t="str">
        <f t="shared" si="3"/>
        <v>(26.107664, -81.680556)</v>
      </c>
      <c r="AC35" s="1341" t="str">
        <f t="shared" si="4"/>
        <v>&gt;30</v>
      </c>
    </row>
    <row r="36" spans="1:29" ht="14.4" customHeight="1">
      <c r="A36" s="649">
        <v>32955</v>
      </c>
      <c r="B36" s="650" t="s">
        <v>36</v>
      </c>
      <c r="D36" s="650" t="s">
        <v>73</v>
      </c>
      <c r="E36" s="1"/>
      <c r="F36" s="650">
        <v>22.18</v>
      </c>
      <c r="G36" s="650" t="s">
        <v>27</v>
      </c>
      <c r="I36" s="650">
        <v>2102</v>
      </c>
      <c r="J36" s="650" t="s">
        <v>67</v>
      </c>
      <c r="L36" s="654">
        <v>18.05</v>
      </c>
      <c r="M36" s="654" t="s">
        <v>27</v>
      </c>
      <c r="N36" s="208"/>
      <c r="O36" s="655" t="str">
        <f t="array" ref="O36">IFERROR(IF(QCT_metro_or_nonmetro="Metro",INDEX($F$23:$F$748,SMALL(IF((County=$G$23:$G$748),MATCH(ROW($G$23:$G$748),ROW($G$23:$G$748)),""),ROWS($A$23:A36))),INDEX($I$23:$I$52,SMALL(IF((County=$J$23:$J$52),MATCH(ROW($J$23:$J$52),ROW($J$23:$J$52)),""),ROWS($A$23:A36)))),"")</f>
        <v/>
      </c>
      <c r="Q36" s="655" t="str">
        <f t="array" ref="Q36">IFERROR(IF(Geo_Area_of_Opp_boost="Yes",INDEX($L$23:$L$2323,SMALL(IF((County=$M$23:$M$2323),MATCH(ROW($M$23:$M$2323),ROW($M$23:$M$2323)),""),ROWS($A$23:A36))),""),"")</f>
        <v/>
      </c>
      <c r="S36" s="1528" t="s">
        <v>45</v>
      </c>
      <c r="T36" s="1528" t="s">
        <v>1819</v>
      </c>
      <c r="U36" s="1528" t="s">
        <v>1820</v>
      </c>
      <c r="V36" s="1340">
        <v>26.109164</v>
      </c>
      <c r="W36" s="1340">
        <v>-81.680756000000002</v>
      </c>
      <c r="X36" s="1531" t="s">
        <v>1792</v>
      </c>
      <c r="Y36" s="1531" t="s">
        <v>715</v>
      </c>
      <c r="Z36" s="1340" t="str">
        <f t="shared" si="1"/>
        <v>Collier - Cadenza at Hacienda Lakes</v>
      </c>
      <c r="AA36" s="1340" t="str">
        <f t="shared" si="2"/>
        <v>Elderly, Non-ALF</v>
      </c>
      <c r="AB36" s="1340" t="str">
        <f t="shared" si="3"/>
        <v>(26.109164, -81.680756)</v>
      </c>
      <c r="AC36" s="1341" t="str">
        <f t="shared" si="4"/>
        <v>&gt;30</v>
      </c>
    </row>
    <row r="37" spans="1:29" ht="14.4" customHeight="1">
      <c r="A37" s="649">
        <v>33019</v>
      </c>
      <c r="B37" s="650" t="s">
        <v>37</v>
      </c>
      <c r="D37" s="650" t="s">
        <v>74</v>
      </c>
      <c r="E37" s="1"/>
      <c r="F37" s="650">
        <v>8.0299999999999994</v>
      </c>
      <c r="G37" s="653" t="s">
        <v>33</v>
      </c>
      <c r="I37" s="650">
        <v>2106</v>
      </c>
      <c r="J37" s="650" t="s">
        <v>67</v>
      </c>
      <c r="L37" s="654">
        <v>18.059999999999999</v>
      </c>
      <c r="M37" s="654" t="s">
        <v>27</v>
      </c>
      <c r="N37" s="208"/>
      <c r="O37" s="655" t="str">
        <f t="array" ref="O37">IFERROR(IF(QCT_metro_or_nonmetro="Metro",INDEX($F$23:$F$748,SMALL(IF((County=$G$23:$G$748),MATCH(ROW($G$23:$G$748),ROW($G$23:$G$748)),""),ROWS($A$23:A37))),INDEX($I$23:$I$52,SMALL(IF((County=$J$23:$J$52),MATCH(ROW($J$23:$J$52),ROW($J$23:$J$52)),""),ROWS($A$23:A37)))),"")</f>
        <v/>
      </c>
      <c r="Q37" s="655" t="str">
        <f t="array" ref="Q37">IFERROR(IF(Geo_Area_of_Opp_boost="Yes",INDEX($L$23:$L$2323,SMALL(IF((County=$M$23:$M$2323),MATCH(ROW($M$23:$M$2323),ROW($M$23:$M$2323)),""),ROWS($A$23:A37))),""),"")</f>
        <v/>
      </c>
      <c r="S37" s="1528" t="s">
        <v>48</v>
      </c>
      <c r="T37" s="1528" t="s">
        <v>1821</v>
      </c>
      <c r="U37" s="1528" t="s">
        <v>1822</v>
      </c>
      <c r="V37" s="1537">
        <v>27.224609000000001</v>
      </c>
      <c r="W37" s="1537">
        <v>-81.843999999999994</v>
      </c>
      <c r="X37" s="1531" t="s">
        <v>1792</v>
      </c>
      <c r="Y37" s="1341" t="s">
        <v>715</v>
      </c>
      <c r="Z37" s="1340" t="str">
        <f t="shared" si="1"/>
        <v>DeSoto - Arcadia Landings</v>
      </c>
      <c r="AA37" s="1340" t="str">
        <f t="shared" si="2"/>
        <v>Elderly, Non-ALF</v>
      </c>
      <c r="AB37" s="1340" t="str">
        <f t="shared" si="3"/>
        <v>(27.224609, -81.844)</v>
      </c>
      <c r="AC37" s="1341" t="str">
        <f t="shared" si="4"/>
        <v>&gt;30</v>
      </c>
    </row>
    <row r="38" spans="1:29" ht="14.4" customHeight="1">
      <c r="A38" s="649">
        <v>33025</v>
      </c>
      <c r="B38" s="650" t="s">
        <v>37</v>
      </c>
      <c r="D38" s="650" t="s">
        <v>75</v>
      </c>
      <c r="E38" s="1"/>
      <c r="F38" s="650">
        <v>10</v>
      </c>
      <c r="G38" s="653" t="s">
        <v>33</v>
      </c>
      <c r="I38" s="650">
        <v>9702</v>
      </c>
      <c r="J38" s="650" t="s">
        <v>73</v>
      </c>
      <c r="L38" s="654">
        <v>18.11</v>
      </c>
      <c r="M38" s="654" t="s">
        <v>27</v>
      </c>
      <c r="N38" s="208"/>
      <c r="O38" s="655" t="str">
        <f t="array" ref="O38">IFERROR(IF(QCT_metro_or_nonmetro="Metro",INDEX($F$23:$F$748,SMALL(IF((County=$G$23:$G$748),MATCH(ROW($G$23:$G$748),ROW($G$23:$G$748)),""),ROWS($A$23:A38))),INDEX($I$23:$I$52,SMALL(IF((County=$J$23:$J$52),MATCH(ROW($J$23:$J$52),ROW($J$23:$J$52)),""),ROWS($A$23:A38)))),"")</f>
        <v/>
      </c>
      <c r="Q38" s="655" t="str">
        <f t="array" ref="Q38">IFERROR(IF(Geo_Area_of_Opp_boost="Yes",INDEX($L$23:$L$2323,SMALL(IF((County=$M$23:$M$2323),MATCH(ROW($M$23:$M$2323),ROW($M$23:$M$2323)),""),ROWS($A$23:A38))),""),"")</f>
        <v/>
      </c>
      <c r="S38" s="1528" t="s">
        <v>48</v>
      </c>
      <c r="T38" s="1528" t="s">
        <v>1823</v>
      </c>
      <c r="U38" s="1528" t="s">
        <v>1824</v>
      </c>
      <c r="V38" s="1340">
        <v>27.214896</v>
      </c>
      <c r="W38" s="1340">
        <v>-81.846672999999996</v>
      </c>
      <c r="X38" s="1538" t="s">
        <v>1795</v>
      </c>
      <c r="Y38" s="1341" t="s">
        <v>715</v>
      </c>
      <c r="Z38" s="1340" t="str">
        <f t="shared" si="1"/>
        <v>DeSoto - Cypress Garden Apartments</v>
      </c>
      <c r="AA38" s="1340" t="str">
        <f t="shared" si="2"/>
        <v>Family</v>
      </c>
      <c r="AB38" s="1340" t="str">
        <f t="shared" si="3"/>
        <v>(27.214896, -81.846673)</v>
      </c>
      <c r="AC38" s="1341" t="str">
        <f t="shared" si="4"/>
        <v>&gt;30</v>
      </c>
    </row>
    <row r="39" spans="1:29" ht="14.4" customHeight="1">
      <c r="A39" s="649">
        <v>33026</v>
      </c>
      <c r="B39" s="650" t="s">
        <v>37</v>
      </c>
      <c r="D39" s="650" t="s">
        <v>81</v>
      </c>
      <c r="E39" s="1"/>
      <c r="F39" s="650">
        <v>11</v>
      </c>
      <c r="G39" s="653" t="s">
        <v>33</v>
      </c>
      <c r="I39" s="650">
        <v>9703.01</v>
      </c>
      <c r="J39" s="650" t="s">
        <v>73</v>
      </c>
      <c r="L39" s="654">
        <v>18.13</v>
      </c>
      <c r="M39" s="654" t="s">
        <v>27</v>
      </c>
      <c r="N39" s="208"/>
      <c r="O39" s="655" t="str">
        <f t="array" ref="O39">IFERROR(IF(QCT_metro_or_nonmetro="Metro",INDEX($F$23:$F$748,SMALL(IF((County=$G$23:$G$748),MATCH(ROW($G$23:$G$748),ROW($G$23:$G$748)),""),ROWS($A$23:A39))),INDEX($I$23:$I$52,SMALL(IF((County=$J$23:$J$52),MATCH(ROW($J$23:$J$52),ROW($J$23:$J$52)),""),ROWS($A$23:A39)))),"")</f>
        <v/>
      </c>
      <c r="Q39" s="655" t="str">
        <f t="array" ref="Q39">IFERROR(IF(Geo_Area_of_Opp_boost="Yes",INDEX($L$23:$L$2323,SMALL(IF((County=$M$23:$M$2323),MATCH(ROW($M$23:$M$2323),ROW($M$23:$M$2323)),""),ROWS($A$23:A39))),""),"")</f>
        <v/>
      </c>
      <c r="S39" s="1528" t="s">
        <v>48</v>
      </c>
      <c r="T39" s="1528" t="s">
        <v>1825</v>
      </c>
      <c r="U39" s="1528" t="s">
        <v>1826</v>
      </c>
      <c r="V39" s="1340">
        <v>27.223427999999998</v>
      </c>
      <c r="W39" s="1340">
        <v>-81.841499999999996</v>
      </c>
      <c r="X39" s="1531" t="s">
        <v>1795</v>
      </c>
      <c r="Y39" s="1341" t="s">
        <v>716</v>
      </c>
      <c r="Z39" s="1340" t="str">
        <f t="shared" si="1"/>
        <v>DeSoto - Hermosa Arcadia</v>
      </c>
      <c r="AA39" s="1340" t="str">
        <f t="shared" si="2"/>
        <v>Family</v>
      </c>
      <c r="AB39" s="1340" t="str">
        <f t="shared" si="3"/>
        <v>(27.223428, -81.8415)</v>
      </c>
      <c r="AC39" s="1341" t="str">
        <f t="shared" si="4"/>
        <v>&lt;31</v>
      </c>
    </row>
    <row r="40" spans="1:29" ht="14.4" customHeight="1">
      <c r="A40" s="649">
        <v>33027</v>
      </c>
      <c r="B40" s="650" t="s">
        <v>37</v>
      </c>
      <c r="D40" s="650" t="s">
        <v>85</v>
      </c>
      <c r="E40" s="1"/>
      <c r="F40" s="650">
        <v>16</v>
      </c>
      <c r="G40" s="653" t="s">
        <v>33</v>
      </c>
      <c r="I40" s="650">
        <v>1102</v>
      </c>
      <c r="J40" s="650" t="s">
        <v>75</v>
      </c>
      <c r="L40" s="654">
        <v>18.14</v>
      </c>
      <c r="M40" s="654" t="s">
        <v>27</v>
      </c>
      <c r="N40" s="208"/>
      <c r="O40" s="655" t="str">
        <f t="array" ref="O40">IFERROR(IF(QCT_metro_or_nonmetro="Metro",INDEX($F$23:$F$748,SMALL(IF((County=$G$23:$G$748),MATCH(ROW($G$23:$G$748),ROW($G$23:$G$748)),""),ROWS($A$23:A40))),INDEX($I$23:$I$52,SMALL(IF((County=$J$23:$J$52),MATCH(ROW($J$23:$J$52),ROW($J$23:$J$52)),""),ROWS($A$23:A40)))),"")</f>
        <v/>
      </c>
      <c r="Q40" s="655" t="str">
        <f t="array" ref="Q40">IFERROR(IF(Geo_Area_of_Opp_boost="Yes",INDEX($L$23:$L$2323,SMALL(IF((County=$M$23:$M$2323),MATCH(ROW($M$23:$M$2323),ROW($M$23:$M$2323)),""),ROWS($A$23:A40))),""),"")</f>
        <v/>
      </c>
      <c r="S40" s="1528" t="s">
        <v>48</v>
      </c>
      <c r="T40" s="1528" t="s">
        <v>1827</v>
      </c>
      <c r="U40" s="1528" t="s">
        <v>1828</v>
      </c>
      <c r="V40" s="1528">
        <v>27.212143999999999</v>
      </c>
      <c r="W40" s="1528">
        <v>-81.840299999999999</v>
      </c>
      <c r="X40" s="1539" t="s">
        <v>1795</v>
      </c>
      <c r="Y40" s="1531" t="s">
        <v>716</v>
      </c>
      <c r="Z40" s="1340" t="str">
        <f t="shared" si="1"/>
        <v>DeSoto - Meadow Park</v>
      </c>
      <c r="AA40" s="1340" t="str">
        <f t="shared" si="2"/>
        <v>Family</v>
      </c>
      <c r="AB40" s="1340" t="str">
        <f t="shared" si="3"/>
        <v>(27.212144, -81.8403)</v>
      </c>
      <c r="AC40" s="1341" t="str">
        <f t="shared" si="4"/>
        <v>&lt;31</v>
      </c>
    </row>
    <row r="41" spans="1:29" ht="14.4" customHeight="1">
      <c r="A41" s="649">
        <v>33028</v>
      </c>
      <c r="B41" s="650" t="s">
        <v>37</v>
      </c>
      <c r="D41" s="650" t="s">
        <v>93</v>
      </c>
      <c r="E41" s="1"/>
      <c r="F41" s="650">
        <v>18</v>
      </c>
      <c r="G41" s="653" t="s">
        <v>33</v>
      </c>
      <c r="I41" s="650">
        <v>1103.02</v>
      </c>
      <c r="J41" s="650" t="s">
        <v>75</v>
      </c>
      <c r="L41" s="654">
        <v>21.01</v>
      </c>
      <c r="M41" s="654" t="s">
        <v>27</v>
      </c>
      <c r="N41" s="208"/>
      <c r="O41" s="655" t="str">
        <f t="array" ref="O41">IFERROR(IF(QCT_metro_or_nonmetro="Metro",INDEX($F$23:$F$748,SMALL(IF((County=$G$23:$G$748),MATCH(ROW($G$23:$G$748),ROW($G$23:$G$748)),""),ROWS($A$23:A41))),INDEX($I$23:$I$52,SMALL(IF((County=$J$23:$J$52),MATCH(ROW($J$23:$J$52),ROW($J$23:$J$52)),""),ROWS($A$23:A41)))),"")</f>
        <v/>
      </c>
      <c r="Q41" s="655" t="str">
        <f t="array" ref="Q41">IFERROR(IF(Geo_Area_of_Opp_boost="Yes",INDEX($L$23:$L$2323,SMALL(IF((County=$M$23:$M$2323),MATCH(ROW($M$23:$M$2323),ROW($M$23:$M$2323)),""),ROWS($A$23:A41))),""),"")</f>
        <v/>
      </c>
      <c r="S41" s="1528" t="s">
        <v>52</v>
      </c>
      <c r="T41" s="1528" t="s">
        <v>1829</v>
      </c>
      <c r="U41" s="1528" t="s">
        <v>1830</v>
      </c>
      <c r="V41" s="1340">
        <v>30.513259999999999</v>
      </c>
      <c r="W41" s="1340">
        <v>-87.209091000000001</v>
      </c>
      <c r="X41" s="1531" t="s">
        <v>1795</v>
      </c>
      <c r="Y41" s="1531" t="s">
        <v>715</v>
      </c>
      <c r="Z41" s="1340" t="str">
        <f t="shared" si="1"/>
        <v>Escambia - Tranquility at Ferry Pass</v>
      </c>
      <c r="AA41" s="1340" t="str">
        <f t="shared" si="2"/>
        <v>Family</v>
      </c>
      <c r="AB41" s="1340" t="str">
        <f t="shared" si="3"/>
        <v>(30.51326, -87.209091)</v>
      </c>
      <c r="AC41" s="1341" t="str">
        <f t="shared" si="4"/>
        <v>&gt;30</v>
      </c>
    </row>
    <row r="42" spans="1:29" ht="14.4" customHeight="1">
      <c r="A42" s="649">
        <v>33029</v>
      </c>
      <c r="B42" s="650" t="s">
        <v>37</v>
      </c>
      <c r="D42" s="650" t="s">
        <v>100</v>
      </c>
      <c r="E42" s="1"/>
      <c r="F42" s="650">
        <v>20</v>
      </c>
      <c r="G42" s="653" t="s">
        <v>33</v>
      </c>
      <c r="I42" s="650">
        <v>9704</v>
      </c>
      <c r="J42" s="650" t="s">
        <v>81</v>
      </c>
      <c r="L42" s="654">
        <v>21.02</v>
      </c>
      <c r="M42" s="654" t="s">
        <v>27</v>
      </c>
      <c r="N42" s="208"/>
      <c r="O42" s="655" t="str">
        <f t="array" ref="O42">IFERROR(IF(QCT_metro_or_nonmetro="Metro",INDEX($F$23:$F$748,SMALL(IF((County=$G$23:$G$748),MATCH(ROW($G$23:$G$748),ROW($G$23:$G$748)),""),ROWS($A$23:A42))),INDEX($I$23:$I$52,SMALL(IF((County=$J$23:$J$52),MATCH(ROW($J$23:$J$52),ROW($J$23:$J$52)),""),ROWS($A$23:A42)))),"")</f>
        <v/>
      </c>
      <c r="Q42" s="655" t="str">
        <f t="array" ref="Q42">IFERROR(IF(Geo_Area_of_Opp_boost="Yes",INDEX($L$23:$L$2323,SMALL(IF((County=$M$23:$M$2323),MATCH(ROW($M$23:$M$2323),ROW($M$23:$M$2323)),""),ROWS($A$23:A42))),""),"")</f>
        <v/>
      </c>
      <c r="S42" s="1528" t="s">
        <v>55</v>
      </c>
      <c r="T42" s="1528" t="s">
        <v>1831</v>
      </c>
      <c r="U42" s="1528" t="s">
        <v>1832</v>
      </c>
      <c r="V42" s="1529">
        <v>30.558774</v>
      </c>
      <c r="W42" s="1530">
        <v>-84.593761999999998</v>
      </c>
      <c r="X42" s="1531" t="s">
        <v>1795</v>
      </c>
      <c r="Y42" s="1341" t="s">
        <v>715</v>
      </c>
      <c r="Z42" s="1340" t="str">
        <f t="shared" si="1"/>
        <v>Gadsden - Arbours at Quincy</v>
      </c>
      <c r="AA42" s="1340" t="str">
        <f t="shared" si="2"/>
        <v>Family</v>
      </c>
      <c r="AB42" s="1340" t="str">
        <f t="shared" si="3"/>
        <v>(30.558774, -84.593762)</v>
      </c>
      <c r="AC42" s="1341" t="str">
        <f t="shared" si="4"/>
        <v>&gt;30</v>
      </c>
    </row>
    <row r="43" spans="1:29" ht="14.4" customHeight="1">
      <c r="A43" s="649">
        <v>33062</v>
      </c>
      <c r="B43" s="650" t="s">
        <v>37</v>
      </c>
      <c r="D43" s="650" t="s">
        <v>101</v>
      </c>
      <c r="E43" s="1"/>
      <c r="F43" s="650">
        <v>22</v>
      </c>
      <c r="G43" s="653" t="s">
        <v>33</v>
      </c>
      <c r="I43" s="650">
        <v>9502.01</v>
      </c>
      <c r="J43" s="650" t="s">
        <v>93</v>
      </c>
      <c r="L43" s="654">
        <v>22.01</v>
      </c>
      <c r="M43" s="654" t="s">
        <v>27</v>
      </c>
      <c r="N43" s="208"/>
      <c r="O43" s="655" t="str">
        <f t="array" ref="O43">IFERROR(IF(QCT_metro_or_nonmetro="Metro",INDEX($F$23:$F$748,SMALL(IF((County=$G$23:$G$748),MATCH(ROW($G$23:$G$748),ROW($G$23:$G$748)),""),ROWS($A$23:A43))),INDEX($I$23:$I$52,SMALL(IF((County=$J$23:$J$52),MATCH(ROW($J$23:$J$52),ROW($J$23:$J$52)),""),ROWS($A$23:A43)))),"")</f>
        <v/>
      </c>
      <c r="Q43" s="655" t="str">
        <f t="array" ref="Q43">IFERROR(IF(Geo_Area_of_Opp_boost="Yes",INDEX($L$23:$L$2323,SMALL(IF((County=$M$23:$M$2323),MATCH(ROW($M$23:$M$2323),ROW($M$23:$M$2323)),""),ROWS($A$23:A43))),""),"")</f>
        <v/>
      </c>
      <c r="S43" s="1532" t="s">
        <v>55</v>
      </c>
      <c r="T43" s="1532" t="s">
        <v>1833</v>
      </c>
      <c r="U43" s="1528" t="s">
        <v>1834</v>
      </c>
      <c r="V43" s="1528">
        <v>30.558461999999999</v>
      </c>
      <c r="W43" s="1528">
        <v>-84.598144000000005</v>
      </c>
      <c r="X43" s="1531" t="s">
        <v>1795</v>
      </c>
      <c r="Y43" s="1533" t="s">
        <v>715</v>
      </c>
      <c r="Z43" s="1340" t="str">
        <f t="shared" si="1"/>
        <v>Gadsden - Cross Creek Gardens at Quincy</v>
      </c>
      <c r="AA43" s="1340" t="str">
        <f t="shared" si="2"/>
        <v>Family</v>
      </c>
      <c r="AB43" s="1340" t="str">
        <f t="shared" si="3"/>
        <v>(30.558462, -84.598144)</v>
      </c>
      <c r="AC43" s="1341" t="str">
        <f t="shared" si="4"/>
        <v>&gt;30</v>
      </c>
    </row>
    <row r="44" spans="1:29" ht="14.4" customHeight="1">
      <c r="A44" s="649">
        <v>33063</v>
      </c>
      <c r="B44" s="650" t="s">
        <v>37</v>
      </c>
      <c r="D44" s="650" t="s">
        <v>102</v>
      </c>
      <c r="E44" s="1"/>
      <c r="F44" s="650">
        <v>24</v>
      </c>
      <c r="G44" s="653" t="s">
        <v>33</v>
      </c>
      <c r="I44" s="650">
        <v>9507</v>
      </c>
      <c r="J44" s="650" t="s">
        <v>93</v>
      </c>
      <c r="L44" s="654">
        <v>22.02</v>
      </c>
      <c r="M44" s="654" t="s">
        <v>27</v>
      </c>
      <c r="N44" s="208"/>
      <c r="O44" s="655" t="str">
        <f t="array" ref="O44">IFERROR(IF(QCT_metro_or_nonmetro="Metro",INDEX($F$23:$F$748,SMALL(IF((County=$G$23:$G$748),MATCH(ROW($G$23:$G$748),ROW($G$23:$G$748)),""),ROWS($A$23:A44))),INDEX($I$23:$I$52,SMALL(IF((County=$J$23:$J$52),MATCH(ROW($J$23:$J$52),ROW($J$23:$J$52)),""),ROWS($A$23:A44)))),"")</f>
        <v/>
      </c>
      <c r="Q44" s="655" t="str">
        <f t="array" ref="Q44">IFERROR(IF(Geo_Area_of_Opp_boost="Yes",INDEX($L$23:$L$2323,SMALL(IF((County=$M$23:$M$2323),MATCH(ROW($M$23:$M$2323),ROW($M$23:$M$2323)),""),ROWS($A$23:A44))),""),"")</f>
        <v/>
      </c>
      <c r="S44" s="1528" t="s">
        <v>60</v>
      </c>
      <c r="T44" s="1528" t="s">
        <v>1835</v>
      </c>
      <c r="U44" s="1528" t="s">
        <v>1836</v>
      </c>
      <c r="V44" s="1340">
        <v>27.497457000000001</v>
      </c>
      <c r="W44" s="1340">
        <v>-81.786286000000004</v>
      </c>
      <c r="X44" s="1538" t="s">
        <v>1795</v>
      </c>
      <c r="Y44" s="1341" t="s">
        <v>716</v>
      </c>
      <c r="Z44" s="1340" t="str">
        <f t="shared" si="1"/>
        <v>Hardee - Casa San Alfonso</v>
      </c>
      <c r="AA44" s="1340" t="str">
        <f t="shared" si="2"/>
        <v>Family</v>
      </c>
      <c r="AB44" s="1340" t="str">
        <f t="shared" si="3"/>
        <v>(27.497457, -81.786286)</v>
      </c>
      <c r="AC44" s="1341" t="str">
        <f t="shared" si="4"/>
        <v>&lt;31</v>
      </c>
    </row>
    <row r="45" spans="1:29" ht="14.4" customHeight="1">
      <c r="A45" s="649">
        <v>33067</v>
      </c>
      <c r="B45" s="650" t="s">
        <v>37</v>
      </c>
      <c r="D45" s="650" t="s">
        <v>106</v>
      </c>
      <c r="E45" s="1"/>
      <c r="F45" s="650">
        <v>604</v>
      </c>
      <c r="G45" s="653" t="s">
        <v>36</v>
      </c>
      <c r="I45" s="650">
        <v>9508</v>
      </c>
      <c r="J45" s="650" t="s">
        <v>93</v>
      </c>
      <c r="L45" s="654">
        <v>22.04</v>
      </c>
      <c r="M45" s="654" t="s">
        <v>27</v>
      </c>
      <c r="N45" s="208"/>
      <c r="O45" s="655" t="str">
        <f t="array" ref="O45">IFERROR(IF(QCT_metro_or_nonmetro="Metro",INDEX($F$23:$F$748,SMALL(IF((County=$G$23:$G$748),MATCH(ROW($G$23:$G$748),ROW($G$23:$G$748)),""),ROWS($A$23:A45))),INDEX($I$23:$I$52,SMALL(IF((County=$J$23:$J$52),MATCH(ROW($J$23:$J$52),ROW($J$23:$J$52)),""),ROWS($A$23:A45)))),"")</f>
        <v/>
      </c>
      <c r="Q45" s="655" t="str">
        <f t="array" ref="Q45">IFERROR(IF(Geo_Area_of_Opp_boost="Yes",INDEX($L$23:$L$2323,SMALL(IF((County=$M$23:$M$2323),MATCH(ROW($M$23:$M$2323),ROW($M$23:$M$2323)),""),ROWS($A$23:A45))),""),"")</f>
        <v/>
      </c>
      <c r="S45" s="1528" t="s">
        <v>61</v>
      </c>
      <c r="T45" s="1528" t="s">
        <v>1837</v>
      </c>
      <c r="U45" s="1528" t="s">
        <v>1838</v>
      </c>
      <c r="V45" s="1340">
        <v>26.749832000000001</v>
      </c>
      <c r="W45" s="1340">
        <v>-81.441800999999998</v>
      </c>
      <c r="X45" s="1531" t="s">
        <v>1795</v>
      </c>
      <c r="Y45" s="1531" t="s">
        <v>716</v>
      </c>
      <c r="Z45" s="1340" t="str">
        <f t="shared" si="1"/>
        <v>Hendry - Pollywog Creek Mews</v>
      </c>
      <c r="AA45" s="1340" t="str">
        <f t="shared" si="2"/>
        <v>Family</v>
      </c>
      <c r="AB45" s="1340" t="str">
        <f t="shared" si="3"/>
        <v>(26.749832, -81.441801)</v>
      </c>
      <c r="AC45" s="1341" t="str">
        <f t="shared" si="4"/>
        <v>&lt;31</v>
      </c>
    </row>
    <row r="46" spans="1:29" ht="14.4" customHeight="1">
      <c r="A46" s="649">
        <v>33071</v>
      </c>
      <c r="B46" s="650" t="s">
        <v>37</v>
      </c>
      <c r="E46" s="1"/>
      <c r="F46" s="650">
        <v>607</v>
      </c>
      <c r="G46" s="653" t="s">
        <v>36</v>
      </c>
      <c r="I46" s="650">
        <v>9509</v>
      </c>
      <c r="J46" s="650" t="s">
        <v>93</v>
      </c>
      <c r="L46" s="654">
        <v>22.05</v>
      </c>
      <c r="M46" s="654" t="s">
        <v>27</v>
      </c>
      <c r="N46" s="208"/>
      <c r="O46" s="655" t="str">
        <f t="array" ref="O46">IFERROR(IF(QCT_metro_or_nonmetro="Metro",INDEX($F$23:$F$748,SMALL(IF((County=$G$23:$G$748),MATCH(ROW($G$23:$G$748),ROW($G$23:$G$748)),""),ROWS($A$23:A46))),INDEX($I$23:$I$52,SMALL(IF((County=$J$23:$J$52),MATCH(ROW($J$23:$J$52),ROW($J$23:$J$52)),""),ROWS($A$23:A46)))),"")</f>
        <v/>
      </c>
      <c r="Q46" s="655" t="str">
        <f t="array" ref="Q46">IFERROR(IF(Geo_Area_of_Opp_boost="Yes",INDEX($L$23:$L$2323,SMALL(IF((County=$M$23:$M$2323),MATCH(ROW($M$23:$M$2323),ROW($M$23:$M$2323)),""),ROWS($A$23:A46))),""),"")</f>
        <v/>
      </c>
      <c r="S46" s="1532" t="s">
        <v>62</v>
      </c>
      <c r="T46" s="1532" t="s">
        <v>1839</v>
      </c>
      <c r="U46" s="1528" t="s">
        <v>1840</v>
      </c>
      <c r="V46" s="1528">
        <v>28.544394</v>
      </c>
      <c r="W46" s="1528">
        <v>-82.411113</v>
      </c>
      <c r="X46" s="1531" t="s">
        <v>1792</v>
      </c>
      <c r="Y46" s="1533" t="s">
        <v>715</v>
      </c>
      <c r="Z46" s="1340" t="str">
        <f t="shared" si="1"/>
        <v>Hernando - Rochester Park</v>
      </c>
      <c r="AA46" s="1340" t="str">
        <f t="shared" si="2"/>
        <v>Elderly, Non-ALF</v>
      </c>
      <c r="AB46" s="1340" t="str">
        <f t="shared" si="3"/>
        <v>(28.544394, -82.411113)</v>
      </c>
      <c r="AC46" s="1341" t="str">
        <f t="shared" si="4"/>
        <v>&gt;30</v>
      </c>
    </row>
    <row r="47" spans="1:29" ht="14.4" customHeight="1">
      <c r="A47" s="649">
        <v>33073</v>
      </c>
      <c r="B47" s="650" t="s">
        <v>37</v>
      </c>
      <c r="D47" s="157" t="s">
        <v>194</v>
      </c>
      <c r="E47" s="1"/>
      <c r="F47" s="650">
        <v>610.02</v>
      </c>
      <c r="G47" s="653" t="s">
        <v>36</v>
      </c>
      <c r="I47" s="650">
        <v>9512</v>
      </c>
      <c r="J47" s="650" t="s">
        <v>93</v>
      </c>
      <c r="L47" s="654">
        <v>22.07</v>
      </c>
      <c r="M47" s="654" t="s">
        <v>27</v>
      </c>
      <c r="N47" s="208"/>
      <c r="O47" s="655" t="str">
        <f t="array" ref="O47">IFERROR(IF(QCT_metro_or_nonmetro="Metro",INDEX($F$23:$F$748,SMALL(IF((County=$G$23:$G$748),MATCH(ROW($G$23:$G$748),ROW($G$23:$G$748)),""),ROWS($A$23:A47))),INDEX($I$23:$I$52,SMALL(IF((County=$J$23:$J$52),MATCH(ROW($J$23:$J$52),ROW($J$23:$J$52)),""),ROWS($A$23:A47)))),"")</f>
        <v/>
      </c>
      <c r="Q47" s="655" t="str">
        <f t="array" ref="Q47">IFERROR(IF(Geo_Area_of_Opp_boost="Yes",INDEX($L$23:$L$2323,SMALL(IF((County=$M$23:$M$2323),MATCH(ROW($M$23:$M$2323),ROW($M$23:$M$2323)),""),ROWS($A$23:A47))),""),"")</f>
        <v/>
      </c>
      <c r="S47" s="1528" t="s">
        <v>66</v>
      </c>
      <c r="T47" s="1528" t="s">
        <v>1841</v>
      </c>
      <c r="U47" s="1528" t="s">
        <v>1842</v>
      </c>
      <c r="V47" s="1340">
        <v>27.650488899999999</v>
      </c>
      <c r="W47" s="1340">
        <v>-80.397827800000002</v>
      </c>
      <c r="X47" s="1538" t="s">
        <v>1792</v>
      </c>
      <c r="Y47" s="1341" t="s">
        <v>715</v>
      </c>
      <c r="Z47" s="1340" t="str">
        <f t="shared" si="1"/>
        <v>Indian River - Orange Blossom Village</v>
      </c>
      <c r="AA47" s="1340" t="str">
        <f t="shared" si="2"/>
        <v>Elderly, Non-ALF</v>
      </c>
      <c r="AB47" s="1340" t="str">
        <f t="shared" si="3"/>
        <v>(27.6504889, -80.3978278)</v>
      </c>
      <c r="AC47" s="1341" t="str">
        <f t="shared" si="4"/>
        <v>&gt;30</v>
      </c>
    </row>
    <row r="48" spans="1:29" ht="14.4" customHeight="1">
      <c r="A48" s="649">
        <v>33076</v>
      </c>
      <c r="B48" s="650" t="s">
        <v>37</v>
      </c>
      <c r="D48" s="652" t="s">
        <v>195</v>
      </c>
      <c r="E48" s="1"/>
      <c r="F48" s="650">
        <v>623.01</v>
      </c>
      <c r="G48" s="653" t="s">
        <v>36</v>
      </c>
      <c r="I48" s="650">
        <v>9514.01</v>
      </c>
      <c r="J48" s="650" t="s">
        <v>93</v>
      </c>
      <c r="L48" s="654">
        <v>22.08</v>
      </c>
      <c r="M48" s="654" t="s">
        <v>27</v>
      </c>
      <c r="N48" s="208"/>
      <c r="O48" s="655" t="str">
        <f t="array" ref="O48">IFERROR(IF(QCT_metro_or_nonmetro="Metro",INDEX($F$23:$F$748,SMALL(IF((County=$G$23:$G$748),MATCH(ROW($G$23:$G$748),ROW($G$23:$G$748)),""),ROWS($A$23:A48))),INDEX($I$23:$I$52,SMALL(IF((County=$J$23:$J$52),MATCH(ROW($J$23:$J$52),ROW($J$23:$J$52)),""),ROWS($A$23:A48)))),"")</f>
        <v/>
      </c>
      <c r="Q48" s="655" t="str">
        <f t="array" ref="Q48">IFERROR(IF(Geo_Area_of_Opp_boost="Yes",INDEX($L$23:$L$2323,SMALL(IF((County=$M$23:$M$2323),MATCH(ROW($M$23:$M$2323),ROW($M$23:$M$2323)),""),ROWS($A$23:A48))),""),"")</f>
        <v/>
      </c>
      <c r="S48" s="1528" t="s">
        <v>67</v>
      </c>
      <c r="T48" s="1528" t="s">
        <v>1843</v>
      </c>
      <c r="U48" s="1528" t="s">
        <v>1844</v>
      </c>
      <c r="V48" s="1530">
        <v>30.761482000000001</v>
      </c>
      <c r="W48" s="1536">
        <v>-85.229332999999997</v>
      </c>
      <c r="X48" s="1531" t="s">
        <v>1795</v>
      </c>
      <c r="Y48" s="1341" t="s">
        <v>715</v>
      </c>
      <c r="Z48" s="1340" t="str">
        <f t="shared" si="1"/>
        <v>Jackson - Thomas Pines</v>
      </c>
      <c r="AA48" s="1340" t="str">
        <f t="shared" si="2"/>
        <v>Family</v>
      </c>
      <c r="AB48" s="1340" t="str">
        <f t="shared" si="3"/>
        <v>(30.761482, -85.229333)</v>
      </c>
      <c r="AC48" s="1341" t="str">
        <f t="shared" si="4"/>
        <v>&gt;30</v>
      </c>
    </row>
    <row r="49" spans="1:29" ht="14.4" customHeight="1">
      <c r="A49" s="649">
        <v>33301</v>
      </c>
      <c r="B49" s="650" t="s">
        <v>37</v>
      </c>
      <c r="D49" s="652" t="s">
        <v>196</v>
      </c>
      <c r="E49" s="1"/>
      <c r="F49" s="650">
        <v>623.02</v>
      </c>
      <c r="G49" s="653" t="s">
        <v>36</v>
      </c>
      <c r="I49" s="650">
        <v>9503</v>
      </c>
      <c r="J49" s="650" t="s">
        <v>101</v>
      </c>
      <c r="L49" s="654">
        <v>22.09</v>
      </c>
      <c r="M49" s="654" t="s">
        <v>27</v>
      </c>
      <c r="N49" s="208"/>
      <c r="O49" s="655" t="str">
        <f t="array" ref="O49">IFERROR(IF(QCT_metro_or_nonmetro="Metro",INDEX($F$23:$F$748,SMALL(IF((County=$G$23:$G$748),MATCH(ROW($G$23:$G$748),ROW($G$23:$G$748)),""),ROWS($A$23:A49))),INDEX($I$23:$I$52,SMALL(IF((County=$J$23:$J$52),MATCH(ROW($J$23:$J$52),ROW($J$23:$J$52)),""),ROWS($A$23:A49)))),"")</f>
        <v/>
      </c>
      <c r="Q49" s="655" t="str">
        <f t="array" ref="Q49">IFERROR(IF(Geo_Area_of_Opp_boost="Yes",INDEX($L$23:$L$2323,SMALL(IF((County=$M$23:$M$2323),MATCH(ROW($M$23:$M$2323),ROW($M$23:$M$2323)),""),ROWS($A$23:A49))),""),"")</f>
        <v/>
      </c>
      <c r="S49" s="1528" t="s">
        <v>67</v>
      </c>
      <c r="T49" s="1528" t="s">
        <v>1845</v>
      </c>
      <c r="U49" s="1528" t="s">
        <v>1846</v>
      </c>
      <c r="V49" s="1536">
        <v>30.709993999999998</v>
      </c>
      <c r="W49" s="1536">
        <v>-85.190460999999999</v>
      </c>
      <c r="X49" s="1531" t="s">
        <v>1795</v>
      </c>
      <c r="Y49" s="1531" t="s">
        <v>715</v>
      </c>
      <c r="Z49" s="1340" t="str">
        <f t="shared" si="1"/>
        <v>Jackson - Tranquility at Hope School Phase II</v>
      </c>
      <c r="AA49" s="1340" t="str">
        <f t="shared" si="2"/>
        <v>Family</v>
      </c>
      <c r="AB49" s="1340" t="str">
        <f t="shared" si="3"/>
        <v>(30.709994, -85.190461)</v>
      </c>
      <c r="AC49" s="1341" t="str">
        <f t="shared" si="4"/>
        <v>&gt;30</v>
      </c>
    </row>
    <row r="50" spans="1:29" ht="14.4" customHeight="1">
      <c r="A50" s="649">
        <v>33308</v>
      </c>
      <c r="B50" s="650" t="s">
        <v>37</v>
      </c>
      <c r="D50" s="652" t="s">
        <v>197</v>
      </c>
      <c r="E50" s="1"/>
      <c r="F50" s="650">
        <v>624</v>
      </c>
      <c r="G50" s="653" t="s">
        <v>36</v>
      </c>
      <c r="I50" s="650">
        <v>9701.0300000000007</v>
      </c>
      <c r="J50" s="650" t="s">
        <v>106</v>
      </c>
      <c r="L50" s="654">
        <v>22.1</v>
      </c>
      <c r="M50" s="654" t="s">
        <v>27</v>
      </c>
      <c r="N50" s="208"/>
      <c r="O50" s="655" t="str">
        <f t="array" ref="O50">IFERROR(IF(QCT_metro_or_nonmetro="Metro",INDEX($F$23:$F$748,SMALL(IF((County=$G$23:$G$748),MATCH(ROW($G$23:$G$748),ROW($G$23:$G$748)),""),ROWS($A$23:A50))),INDEX($I$23:$I$52,SMALL(IF((County=$J$23:$J$52),MATCH(ROW($J$23:$J$52),ROW($J$23:$J$52)),""),ROWS($A$23:A50)))),"")</f>
        <v/>
      </c>
      <c r="Q50" s="655" t="str">
        <f t="array" ref="Q50">IFERROR(IF(Geo_Area_of_Opp_boost="Yes",INDEX($L$23:$L$2323,SMALL(IF((County=$M$23:$M$2323),MATCH(ROW($M$23:$M$2323),ROW($M$23:$M$2323)),""),ROWS($A$23:A50))),""),"")</f>
        <v/>
      </c>
      <c r="S50" s="1528" t="s">
        <v>71</v>
      </c>
      <c r="T50" s="1528" t="s">
        <v>1847</v>
      </c>
      <c r="U50" s="1528" t="s">
        <v>1848</v>
      </c>
      <c r="V50" s="1529">
        <v>26.649678000000002</v>
      </c>
      <c r="W50" s="1530">
        <v>-81.813449000000006</v>
      </c>
      <c r="X50" s="1531" t="s">
        <v>1795</v>
      </c>
      <c r="Y50" s="1341" t="s">
        <v>715</v>
      </c>
      <c r="Z50" s="1340" t="str">
        <f t="shared" si="1"/>
        <v>Lee - Hibiscus Apartments Phase Two</v>
      </c>
      <c r="AA50" s="1340" t="str">
        <f t="shared" si="2"/>
        <v>Family</v>
      </c>
      <c r="AB50" s="1340" t="str">
        <f t="shared" si="3"/>
        <v>(26.649678, -81.813449)</v>
      </c>
      <c r="AC50" s="1341" t="str">
        <f t="shared" si="4"/>
        <v>&gt;30</v>
      </c>
    </row>
    <row r="51" spans="1:29" ht="14.4" customHeight="1">
      <c r="A51" s="649">
        <v>33321</v>
      </c>
      <c r="B51" s="650" t="s">
        <v>37</v>
      </c>
      <c r="E51" s="1"/>
      <c r="F51" s="650">
        <v>625</v>
      </c>
      <c r="G51" s="653" t="s">
        <v>36</v>
      </c>
      <c r="I51" s="650">
        <v>9702</v>
      </c>
      <c r="J51" s="650" t="s">
        <v>106</v>
      </c>
      <c r="L51" s="654">
        <v>22.19</v>
      </c>
      <c r="M51" s="654" t="s">
        <v>27</v>
      </c>
      <c r="N51" s="208"/>
      <c r="O51" s="655" t="str">
        <f t="array" ref="O51">IFERROR(IF(QCT_metro_or_nonmetro="Metro",INDEX($F$23:$F$748,SMALL(IF((County=$G$23:$G$748),MATCH(ROW($G$23:$G$748),ROW($G$23:$G$748)),""),ROWS($A$23:A51))),INDEX($I$23:$I$52,SMALL(IF((County=$J$23:$J$52),MATCH(ROW($J$23:$J$52),ROW($J$23:$J$52)),""),ROWS($A$23:A51)))),"")</f>
        <v/>
      </c>
      <c r="Q51" s="655" t="str">
        <f t="array" ref="Q51">IFERROR(IF(Geo_Area_of_Opp_boost="Yes",INDEX($L$23:$L$2323,SMALL(IF((County=$M$23:$M$2323),MATCH(ROW($M$23:$M$2323),ROW($M$23:$M$2323)),""),ROWS($A$23:A51))),""),"")</f>
        <v/>
      </c>
      <c r="S51" s="1532" t="s">
        <v>71</v>
      </c>
      <c r="T51" s="1532" t="s">
        <v>1849</v>
      </c>
      <c r="U51" s="1528" t="s">
        <v>1850</v>
      </c>
      <c r="V51" s="1528">
        <v>26.561</v>
      </c>
      <c r="W51" s="1528">
        <v>-81.956917000000004</v>
      </c>
      <c r="X51" s="1531" t="s">
        <v>1792</v>
      </c>
      <c r="Y51" s="1533" t="s">
        <v>715</v>
      </c>
      <c r="Z51" s="1340" t="str">
        <f t="shared" si="1"/>
        <v>Lee - Madison Square</v>
      </c>
      <c r="AA51" s="1340" t="str">
        <f t="shared" si="2"/>
        <v>Elderly, Non-ALF</v>
      </c>
      <c r="AB51" s="1340" t="str">
        <f t="shared" si="3"/>
        <v>(26.561, -81.956917)</v>
      </c>
      <c r="AC51" s="1341" t="str">
        <f t="shared" si="4"/>
        <v>&gt;30</v>
      </c>
    </row>
    <row r="52" spans="1:29" ht="14.4" customHeight="1">
      <c r="A52" s="649">
        <v>33322</v>
      </c>
      <c r="B52" s="650" t="s">
        <v>37</v>
      </c>
      <c r="D52" s="157" t="s">
        <v>198</v>
      </c>
      <c r="E52" s="1"/>
      <c r="F52" s="650">
        <v>626</v>
      </c>
      <c r="G52" s="653" t="s">
        <v>36</v>
      </c>
      <c r="I52" s="650">
        <v>9703.02</v>
      </c>
      <c r="J52" s="650" t="s">
        <v>106</v>
      </c>
      <c r="L52" s="654">
        <v>401.01</v>
      </c>
      <c r="M52" s="654" t="s">
        <v>30</v>
      </c>
      <c r="N52" s="208"/>
      <c r="O52" s="655" t="str">
        <f t="array" ref="O52">IFERROR(IF(QCT_metro_or_nonmetro="Metro",INDEX($F$23:$F$748,SMALL(IF((County=$G$23:$G$748),MATCH(ROW($G$23:$G$748),ROW($G$23:$G$748)),""),ROWS($A$23:A52))),INDEX($I$23:$I$52,SMALL(IF((County=$J$23:$J$52),MATCH(ROW($J$23:$J$52),ROW($J$23:$J$52)),""),ROWS($A$23:A52)))),"")</f>
        <v/>
      </c>
      <c r="Q52" s="655" t="str">
        <f t="array" ref="Q52">IFERROR(IF(Geo_Area_of_Opp_boost="Yes",INDEX($L$23:$L$2323,SMALL(IF((County=$M$23:$M$2323),MATCH(ROW($M$23:$M$2323),ROW($M$23:$M$2323)),""),ROWS($A$23:A52))),""),"")</f>
        <v/>
      </c>
      <c r="S52" s="1528" t="s">
        <v>71</v>
      </c>
      <c r="T52" s="1528" t="s">
        <v>1851</v>
      </c>
      <c r="U52" s="1528" t="s">
        <v>1852</v>
      </c>
      <c r="V52" s="1528">
        <v>26.651800999999999</v>
      </c>
      <c r="W52" s="1528">
        <v>-81.832418000000004</v>
      </c>
      <c r="X52" s="1531" t="s">
        <v>1795</v>
      </c>
      <c r="Y52" s="1531" t="s">
        <v>715</v>
      </c>
      <c r="Z52" s="1340" t="str">
        <f t="shared" si="1"/>
        <v>Lee - St. Peter Claver Place Phase I</v>
      </c>
      <c r="AA52" s="1340" t="str">
        <f t="shared" si="2"/>
        <v>Family</v>
      </c>
      <c r="AB52" s="1340" t="str">
        <f t="shared" si="3"/>
        <v>(26.651801, -81.832418)</v>
      </c>
      <c r="AC52" s="1341" t="str">
        <f t="shared" si="4"/>
        <v>&gt;30</v>
      </c>
    </row>
    <row r="53" spans="1:29" ht="14.4" customHeight="1">
      <c r="A53" s="649">
        <v>33323</v>
      </c>
      <c r="B53" s="650" t="s">
        <v>37</v>
      </c>
      <c r="D53" s="652" t="s">
        <v>195</v>
      </c>
      <c r="E53" s="1"/>
      <c r="F53" s="650">
        <v>645</v>
      </c>
      <c r="G53" s="653" t="s">
        <v>36</v>
      </c>
      <c r="L53" s="654">
        <v>401.02</v>
      </c>
      <c r="M53" s="654" t="s">
        <v>30</v>
      </c>
      <c r="N53" s="208"/>
      <c r="O53" s="655" t="str">
        <f t="array" ref="O53">IFERROR(IF(QCT_metro_or_nonmetro="Metro",INDEX($F$23:$F$748,SMALL(IF((County=$G$23:$G$748),MATCH(ROW($G$23:$G$748),ROW($G$23:$G$748)),""),ROWS($A$23:A53))),INDEX($I$23:$I$52,SMALL(IF((County=$J$23:$J$52),MATCH(ROW($J$23:$J$52),ROW($J$23:$J$52)),""),ROWS($A$23:A53)))),"")</f>
        <v/>
      </c>
      <c r="Q53" s="655" t="str">
        <f t="array" ref="Q53">IFERROR(IF(Geo_Area_of_Opp_boost="Yes",INDEX($L$23:$L$2323,SMALL(IF((County=$M$23:$M$2323),MATCH(ROW($M$23:$M$2323),ROW($M$23:$M$2323)),""),ROWS($A$23:A53))),""),"")</f>
        <v/>
      </c>
      <c r="S53" s="1528" t="s">
        <v>72</v>
      </c>
      <c r="T53" s="1528" t="s">
        <v>1853</v>
      </c>
      <c r="U53" s="1528" t="s">
        <v>1854</v>
      </c>
      <c r="V53" s="1529">
        <v>30.422654999999999</v>
      </c>
      <c r="W53" s="1530">
        <v>-84.229337999999998</v>
      </c>
      <c r="X53" s="1531" t="s">
        <v>1795</v>
      </c>
      <c r="Y53" s="1341" t="s">
        <v>715</v>
      </c>
      <c r="Z53" s="1340" t="str">
        <f t="shared" si="1"/>
        <v>Leon - Emery Cove</v>
      </c>
      <c r="AA53" s="1340" t="str">
        <f t="shared" si="2"/>
        <v>Family</v>
      </c>
      <c r="AB53" s="1340" t="str">
        <f t="shared" si="3"/>
        <v>(30.422655, -84.229338)</v>
      </c>
      <c r="AC53" s="1341" t="str">
        <f t="shared" si="4"/>
        <v>&gt;30</v>
      </c>
    </row>
    <row r="54" spans="1:29" ht="14.4" customHeight="1">
      <c r="A54" s="649">
        <v>33324</v>
      </c>
      <c r="B54" s="650" t="s">
        <v>37</v>
      </c>
      <c r="D54" s="652" t="s">
        <v>196</v>
      </c>
      <c r="E54" s="1"/>
      <c r="F54" s="650">
        <v>647</v>
      </c>
      <c r="G54" s="653" t="s">
        <v>36</v>
      </c>
      <c r="I54" s="1802" t="s">
        <v>199</v>
      </c>
      <c r="J54" s="1803"/>
      <c r="L54" s="654">
        <v>2.0099999999999998</v>
      </c>
      <c r="M54" s="654" t="s">
        <v>33</v>
      </c>
      <c r="N54" s="208"/>
      <c r="O54" s="655" t="str">
        <f t="array" ref="O54">IFERROR(IF(QCT_metro_or_nonmetro="Metro",INDEX($F$23:$F$748,SMALL(IF((County=$G$23:$G$748),MATCH(ROW($G$23:$G$748),ROW($G$23:$G$748)),""),ROWS($A$23:A54))),INDEX($I$23:$I$52,SMALL(IF((County=$J$23:$J$52),MATCH(ROW($J$23:$J$52),ROW($J$23:$J$52)),""),ROWS($A$23:A54)))),"")</f>
        <v/>
      </c>
      <c r="Q54" s="655" t="str">
        <f t="array" ref="Q54">IFERROR(IF(Geo_Area_of_Opp_boost="Yes",INDEX($L$23:$L$2323,SMALL(IF((County=$M$23:$M$2323),MATCH(ROW($M$23:$M$2323),ROW($M$23:$M$2323)),""),ROWS($A$23:A54))),""),"")</f>
        <v/>
      </c>
      <c r="S54" s="1540" t="s">
        <v>72</v>
      </c>
      <c r="T54" s="1540" t="s">
        <v>1855</v>
      </c>
      <c r="U54" s="1541" t="s">
        <v>2027</v>
      </c>
      <c r="V54" s="1541">
        <v>30.413135</v>
      </c>
      <c r="W54" s="1541">
        <v>-84.269935000000004</v>
      </c>
      <c r="X54" s="1542" t="s">
        <v>1795</v>
      </c>
      <c r="Y54" s="1543" t="s">
        <v>715</v>
      </c>
      <c r="Z54" s="1340" t="str">
        <f t="shared" si="1"/>
        <v>Leon - Magnolia Family - sites 1-3</v>
      </c>
      <c r="AA54" s="1340" t="str">
        <f t="shared" si="2"/>
        <v>Family</v>
      </c>
      <c r="AB54" s="1340" t="str">
        <f t="shared" si="3"/>
        <v>(30.413135, -84.269935)</v>
      </c>
      <c r="AC54" s="1341" t="str">
        <f t="shared" si="4"/>
        <v>&gt;30</v>
      </c>
    </row>
    <row r="55" spans="1:29" ht="14.4" customHeight="1">
      <c r="A55" s="649">
        <v>33325</v>
      </c>
      <c r="B55" s="650" t="s">
        <v>37</v>
      </c>
      <c r="D55" s="652" t="s">
        <v>197</v>
      </c>
      <c r="E55" s="1"/>
      <c r="F55" s="650">
        <v>649.02</v>
      </c>
      <c r="G55" s="653" t="s">
        <v>36</v>
      </c>
      <c r="I55" s="652" t="s">
        <v>195</v>
      </c>
      <c r="J55" s="650"/>
      <c r="L55" s="654">
        <v>5</v>
      </c>
      <c r="M55" s="654" t="s">
        <v>33</v>
      </c>
      <c r="N55" s="208"/>
      <c r="O55" s="655" t="str">
        <f t="array" ref="O55">IFERROR(IF(QCT_metro_or_nonmetro="Metro",INDEX($F$23:$F$748,SMALL(IF((County=$G$23:$G$748),MATCH(ROW($G$23:$G$748),ROW($G$23:$G$748)),""),ROWS($A$23:A55))),INDEX($I$23:$I$52,SMALL(IF((County=$J$23:$J$52),MATCH(ROW($J$23:$J$52),ROW($J$23:$J$52)),""),ROWS($A$23:A55)))),"")</f>
        <v/>
      </c>
      <c r="Q55" s="655" t="str">
        <f t="array" ref="Q55">IFERROR(IF(Geo_Area_of_Opp_boost="Yes",INDEX($L$23:$L$2323,SMALL(IF((County=$M$23:$M$2323),MATCH(ROW($M$23:$M$2323),ROW($M$23:$M$2323)),""),ROWS($A$23:A55))),""),"")</f>
        <v/>
      </c>
      <c r="S55" s="1342" t="s">
        <v>72</v>
      </c>
      <c r="T55" s="1342" t="s">
        <v>1856</v>
      </c>
      <c r="U55" s="1528" t="s">
        <v>1857</v>
      </c>
      <c r="V55" s="1528">
        <v>30.414906999999999</v>
      </c>
      <c r="W55" s="1536">
        <v>-84.270418000000006</v>
      </c>
      <c r="X55" s="1531" t="s">
        <v>1795</v>
      </c>
      <c r="Y55" s="1341" t="s">
        <v>715</v>
      </c>
      <c r="Z55" s="1340" t="str">
        <f t="shared" ref="Z55:Z88" si="5">S55&amp;" - "&amp;U55</f>
        <v>Leon - Magnolia Family II</v>
      </c>
      <c r="AA55" s="1340" t="str">
        <f t="shared" ref="AA55:AA88" si="6">IF(X55="F","Family",IF(X55="E","Elderly, Non-ALF",IF(X55="ALF","Elderly, Assisted Living Facility",IF(X55="W","Workforce",""))))</f>
        <v>Family</v>
      </c>
      <c r="AB55" s="1340" t="str">
        <f t="shared" ref="AB55:AB88" si="7">"("&amp;V55&amp;", "&amp;W55&amp;")"</f>
        <v>(30.414907, -84.270418)</v>
      </c>
      <c r="AC55" s="1341" t="str">
        <f t="shared" ref="AC55:AC88" si="8">IF(Y55="N","&gt;30",IF(Y55="Y","&lt;31",""))</f>
        <v>&gt;30</v>
      </c>
    </row>
    <row r="56" spans="1:29" ht="14.4" customHeight="1">
      <c r="A56" s="649">
        <v>33326</v>
      </c>
      <c r="B56" s="650" t="s">
        <v>37</v>
      </c>
      <c r="D56" s="652" t="s">
        <v>200</v>
      </c>
      <c r="E56" s="1"/>
      <c r="F56" s="650">
        <v>651.24</v>
      </c>
      <c r="G56" s="653" t="s">
        <v>36</v>
      </c>
      <c r="I56" s="652" t="s">
        <v>201</v>
      </c>
      <c r="J56" s="650"/>
      <c r="L56" s="654">
        <v>6</v>
      </c>
      <c r="M56" s="654" t="s">
        <v>33</v>
      </c>
      <c r="N56" s="208"/>
      <c r="O56" s="655" t="str">
        <f t="array" ref="O56">IFERROR(IF(QCT_metro_or_nonmetro="Metro",INDEX($F$23:$F$748,SMALL(IF((County=$G$23:$G$748),MATCH(ROW($G$23:$G$748),ROW($G$23:$G$748)),""),ROWS($A$23:A56))),INDEX($I$23:$I$52,SMALL(IF((County=$J$23:$J$52),MATCH(ROW($J$23:$J$52),ROW($J$23:$J$52)),""),ROWS($A$23:A56)))),"")</f>
        <v/>
      </c>
      <c r="Q56" s="655" t="str">
        <f t="array" ref="Q56">IFERROR(IF(Geo_Area_of_Opp_boost="Yes",INDEX($L$23:$L$2323,SMALL(IF((County=$M$23:$M$2323),MATCH(ROW($M$23:$M$2323),ROW($M$23:$M$2323)),""),ROWS($A$23:A56))),""),"")</f>
        <v/>
      </c>
      <c r="S56" s="1528" t="s">
        <v>72</v>
      </c>
      <c r="T56" s="1528" t="s">
        <v>1858</v>
      </c>
      <c r="U56" s="1528" t="s">
        <v>1859</v>
      </c>
      <c r="V56" s="1536">
        <v>30.396963</v>
      </c>
      <c r="W56" s="1536">
        <v>-84.292726999999999</v>
      </c>
      <c r="X56" s="1531" t="s">
        <v>1795</v>
      </c>
      <c r="Y56" s="1531" t="s">
        <v>715</v>
      </c>
      <c r="Z56" s="1340" t="str">
        <f t="shared" si="5"/>
        <v>Leon - Ridge Road</v>
      </c>
      <c r="AA56" s="1340" t="str">
        <f t="shared" si="6"/>
        <v>Family</v>
      </c>
      <c r="AB56" s="1340" t="str">
        <f t="shared" si="7"/>
        <v>(30.396963, -84.292727)</v>
      </c>
      <c r="AC56" s="1341" t="str">
        <f t="shared" si="8"/>
        <v>&gt;30</v>
      </c>
    </row>
    <row r="57" spans="1:29" ht="14.4" customHeight="1">
      <c r="A57" s="649">
        <v>33327</v>
      </c>
      <c r="B57" s="650" t="s">
        <v>37</v>
      </c>
      <c r="E57" s="1"/>
      <c r="F57" s="650">
        <v>699.02</v>
      </c>
      <c r="G57" s="653" t="s">
        <v>36</v>
      </c>
      <c r="I57" s="652" t="s">
        <v>202</v>
      </c>
      <c r="J57" s="650"/>
      <c r="L57" s="654">
        <v>7</v>
      </c>
      <c r="M57" s="654" t="s">
        <v>33</v>
      </c>
      <c r="N57" s="208"/>
      <c r="O57" s="655" t="str">
        <f t="array" ref="O57">IFERROR(IF(QCT_metro_or_nonmetro="Metro",INDEX($F$23:$F$748,SMALL(IF((County=$G$23:$G$748),MATCH(ROW($G$23:$G$748),ROW($G$23:$G$748)),""),ROWS($A$23:A57))),INDEX($I$23:$I$52,SMALL(IF((County=$J$23:$J$52),MATCH(ROW($J$23:$J$52),ROW($J$23:$J$52)),""),ROWS($A$23:A57)))),"")</f>
        <v/>
      </c>
      <c r="Q57" s="655" t="str">
        <f t="array" ref="Q57">IFERROR(IF(Geo_Area_of_Opp_boost="Yes",INDEX($L$23:$L$2323,SMALL(IF((County=$M$23:$M$2323),MATCH(ROW($M$23:$M$2323),ROW($M$23:$M$2323)),""),ROWS($A$23:A57))),""),"")</f>
        <v/>
      </c>
      <c r="S57" s="1528" t="s">
        <v>74</v>
      </c>
      <c r="T57" s="1528" t="s">
        <v>1860</v>
      </c>
      <c r="U57" s="1528" t="s">
        <v>1861</v>
      </c>
      <c r="V57" s="1340">
        <v>30.431117</v>
      </c>
      <c r="W57" s="1340">
        <v>-84.981925000000004</v>
      </c>
      <c r="X57" s="1341" t="s">
        <v>1795</v>
      </c>
      <c r="Y57" s="1341" t="s">
        <v>715</v>
      </c>
      <c r="Z57" s="1340" t="str">
        <f t="shared" si="5"/>
        <v>Liberty - Liberty Crossings</v>
      </c>
      <c r="AA57" s="1340" t="str">
        <f t="shared" si="6"/>
        <v>Family</v>
      </c>
      <c r="AB57" s="1340" t="str">
        <f t="shared" si="7"/>
        <v>(30.431117, -84.981925)</v>
      </c>
      <c r="AC57" s="1341" t="str">
        <f t="shared" si="8"/>
        <v>&gt;30</v>
      </c>
    </row>
    <row r="58" spans="1:29" ht="14.4" customHeight="1">
      <c r="A58" s="649">
        <v>33328</v>
      </c>
      <c r="B58" s="650" t="s">
        <v>37</v>
      </c>
      <c r="D58" s="158" t="s">
        <v>203</v>
      </c>
      <c r="E58" s="1"/>
      <c r="F58" s="650">
        <v>103.07</v>
      </c>
      <c r="G58" s="650" t="s">
        <v>37</v>
      </c>
      <c r="L58" s="654">
        <v>8.0399999999999991</v>
      </c>
      <c r="M58" s="654" t="s">
        <v>33</v>
      </c>
      <c r="N58" s="208"/>
      <c r="O58" s="655" t="str">
        <f t="array" ref="O58">IFERROR(IF(QCT_metro_or_nonmetro="Metro",INDEX($F$23:$F$748,SMALL(IF((County=$G$23:$G$748),MATCH(ROW($G$23:$G$748),ROW($G$23:$G$748)),""),ROWS($A$23:A58))),INDEX($I$23:$I$52,SMALL(IF((County=$J$23:$J$52),MATCH(ROW($J$23:$J$52),ROW($J$23:$J$52)),""),ROWS($A$23:A58)))),"")</f>
        <v/>
      </c>
      <c r="Q58" s="655" t="str">
        <f t="array" ref="Q58">IFERROR(IF(Geo_Area_of_Opp_boost="Yes",INDEX($L$23:$L$2323,SMALL(IF((County=$M$23:$M$2323),MATCH(ROW($M$23:$M$2323),ROW($M$23:$M$2323)),""),ROWS($A$23:A58))),""),"")</f>
        <v/>
      </c>
      <c r="S58" s="1532" t="s">
        <v>76</v>
      </c>
      <c r="T58" s="1532" t="s">
        <v>1862</v>
      </c>
      <c r="U58" s="1528" t="s">
        <v>1863</v>
      </c>
      <c r="V58" s="1528">
        <v>27.479706</v>
      </c>
      <c r="W58" s="1528">
        <v>-82.571602999999996</v>
      </c>
      <c r="X58" s="1531" t="s">
        <v>1792</v>
      </c>
      <c r="Y58" s="1533" t="s">
        <v>715</v>
      </c>
      <c r="Z58" s="1340" t="str">
        <f t="shared" si="5"/>
        <v>Manatee - Astoria on 9th</v>
      </c>
      <c r="AA58" s="1340" t="str">
        <f t="shared" si="6"/>
        <v>Elderly, Non-ALF</v>
      </c>
      <c r="AB58" s="1340" t="str">
        <f t="shared" si="7"/>
        <v>(27.479706, -82.571603)</v>
      </c>
      <c r="AC58" s="1341" t="str">
        <f t="shared" si="8"/>
        <v>&gt;30</v>
      </c>
    </row>
    <row r="59" spans="1:29" ht="14.4" customHeight="1">
      <c r="A59" s="649">
        <v>33330</v>
      </c>
      <c r="B59" s="650" t="s">
        <v>37</v>
      </c>
      <c r="D59" s="652" t="s">
        <v>195</v>
      </c>
      <c r="E59" s="1"/>
      <c r="F59" s="650">
        <v>204.05</v>
      </c>
      <c r="G59" s="650" t="s">
        <v>37</v>
      </c>
      <c r="L59" s="654">
        <v>13.01</v>
      </c>
      <c r="M59" s="654" t="s">
        <v>33</v>
      </c>
      <c r="N59" s="208"/>
      <c r="O59" s="655" t="str">
        <f t="array" ref="O59">IFERROR(IF(QCT_metro_or_nonmetro="Metro",INDEX($F$23:$F$748,SMALL(IF((County=$G$23:$G$748),MATCH(ROW($G$23:$G$748),ROW($G$23:$G$748)),""),ROWS($A$23:A59))),INDEX($I$23:$I$52,SMALL(IF((County=$J$23:$J$52),MATCH(ROW($J$23:$J$52),ROW($J$23:$J$52)),""),ROWS($A$23:A59)))),"")</f>
        <v/>
      </c>
      <c r="Q59" s="655" t="str">
        <f t="array" ref="Q59">IFERROR(IF(Geo_Area_of_Opp_boost="Yes",INDEX($L$23:$L$2323,SMALL(IF((County=$M$23:$M$2323),MATCH(ROW($M$23:$M$2323),ROW($M$23:$M$2323)),""),ROWS($A$23:A59))),""),"")</f>
        <v/>
      </c>
      <c r="S59" s="1528" t="s">
        <v>76</v>
      </c>
      <c r="T59" s="1528" t="s">
        <v>1864</v>
      </c>
      <c r="U59" s="1528" t="s">
        <v>1865</v>
      </c>
      <c r="V59" s="1340">
        <v>27.558450000000001</v>
      </c>
      <c r="W59" s="1340">
        <v>-82.440641999999997</v>
      </c>
      <c r="X59" s="1531" t="s">
        <v>1795</v>
      </c>
      <c r="Y59" s="1531" t="s">
        <v>715</v>
      </c>
      <c r="Z59" s="1340" t="str">
        <f t="shared" si="5"/>
        <v>Manatee - Parrish Oaks II</v>
      </c>
      <c r="AA59" s="1340" t="str">
        <f t="shared" si="6"/>
        <v>Family</v>
      </c>
      <c r="AB59" s="1340" t="str">
        <f t="shared" si="7"/>
        <v>(27.55845, -82.440642)</v>
      </c>
      <c r="AC59" s="1341" t="str">
        <f t="shared" si="8"/>
        <v>&gt;30</v>
      </c>
    </row>
    <row r="60" spans="1:29" ht="14.4" customHeight="1">
      <c r="A60" s="649">
        <v>33331</v>
      </c>
      <c r="B60" s="650" t="s">
        <v>37</v>
      </c>
      <c r="D60" s="650" t="s">
        <v>204</v>
      </c>
      <c r="E60" s="1"/>
      <c r="F60" s="650">
        <v>204.12</v>
      </c>
      <c r="G60" s="650" t="s">
        <v>37</v>
      </c>
      <c r="L60" s="654">
        <v>14.02</v>
      </c>
      <c r="M60" s="654" t="s">
        <v>33</v>
      </c>
      <c r="N60" s="208"/>
      <c r="O60" s="655" t="str">
        <f t="array" ref="O60">IFERROR(IF(QCT_metro_or_nonmetro="Metro",INDEX($F$23:$F$748,SMALL(IF((County=$G$23:$G$748),MATCH(ROW($G$23:$G$748),ROW($G$23:$G$748)),""),ROWS($A$23:A60))),INDEX($I$23:$I$52,SMALL(IF((County=$J$23:$J$52),MATCH(ROW($J$23:$J$52),ROW($J$23:$J$52)),""),ROWS($A$23:A60)))),"")</f>
        <v/>
      </c>
      <c r="Q60" s="655" t="str">
        <f t="array" ref="Q60">IFERROR(IF(Geo_Area_of_Opp_boost="Yes",INDEX($L$23:$L$2323,SMALL(IF((County=$M$23:$M$2323),MATCH(ROW($M$23:$M$2323),ROW($M$23:$M$2323)),""),ROWS($A$23:A60))),""),"")</f>
        <v/>
      </c>
      <c r="S60" s="1528" t="s">
        <v>76</v>
      </c>
      <c r="T60" s="1528" t="s">
        <v>1866</v>
      </c>
      <c r="U60" s="1528" t="s">
        <v>1867</v>
      </c>
      <c r="V60" s="1537">
        <v>27.493717</v>
      </c>
      <c r="W60" s="1537">
        <v>-82.570205999999999</v>
      </c>
      <c r="X60" s="1531" t="s">
        <v>1795</v>
      </c>
      <c r="Y60" s="1341" t="s">
        <v>715</v>
      </c>
      <c r="Z60" s="1340" t="str">
        <f t="shared" si="5"/>
        <v>Manatee - RIVERVIEW6</v>
      </c>
      <c r="AA60" s="1340" t="str">
        <f t="shared" si="6"/>
        <v>Family</v>
      </c>
      <c r="AB60" s="1340" t="str">
        <f t="shared" si="7"/>
        <v>(27.493717, -82.570206)</v>
      </c>
      <c r="AC60" s="1341" t="str">
        <f t="shared" si="8"/>
        <v>&gt;30</v>
      </c>
    </row>
    <row r="61" spans="1:29" ht="14.4" customHeight="1">
      <c r="A61" s="649">
        <v>33332</v>
      </c>
      <c r="B61" s="650" t="s">
        <v>37</v>
      </c>
      <c r="D61" s="650" t="s">
        <v>205</v>
      </c>
      <c r="E61" s="1"/>
      <c r="F61" s="650">
        <v>302.02</v>
      </c>
      <c r="G61" s="650" t="s">
        <v>37</v>
      </c>
      <c r="L61" s="654">
        <v>14.04</v>
      </c>
      <c r="M61" s="654" t="s">
        <v>33</v>
      </c>
      <c r="N61" s="208"/>
      <c r="O61" s="655" t="str">
        <f t="array" ref="O61">IFERROR(IF(QCT_metro_or_nonmetro="Metro",INDEX($F$23:$F$748,SMALL(IF((County=$G$23:$G$748),MATCH(ROW($G$23:$G$748),ROW($G$23:$G$748)),""),ROWS($A$23:A61))),INDEX($I$23:$I$52,SMALL(IF((County=$J$23:$J$52),MATCH(ROW($J$23:$J$52),ROW($J$23:$J$52)),""),ROWS($A$23:A61)))),"")</f>
        <v/>
      </c>
      <c r="Q61" s="655" t="str">
        <f t="array" ref="Q61">IFERROR(IF(Geo_Area_of_Opp_boost="Yes",INDEX($L$23:$L$2323,SMALL(IF((County=$M$23:$M$2323),MATCH(ROW($M$23:$M$2323),ROW($M$23:$M$2323)),""),ROWS($A$23:A61))),""),"")</f>
        <v/>
      </c>
      <c r="S61" s="1528" t="s">
        <v>77</v>
      </c>
      <c r="T61" s="1528" t="s">
        <v>1868</v>
      </c>
      <c r="U61" s="1528" t="s">
        <v>1869</v>
      </c>
      <c r="V61" s="1528">
        <v>29.221194000000001</v>
      </c>
      <c r="W61" s="1528">
        <v>-82.162833000000006</v>
      </c>
      <c r="X61" s="1531" t="s">
        <v>1795</v>
      </c>
      <c r="Y61" s="1531" t="s">
        <v>715</v>
      </c>
      <c r="Z61" s="1340" t="str">
        <f t="shared" si="5"/>
        <v>Marion - Madison Oaks West</v>
      </c>
      <c r="AA61" s="1340" t="str">
        <f t="shared" si="6"/>
        <v>Family</v>
      </c>
      <c r="AB61" s="1340" t="str">
        <f t="shared" si="7"/>
        <v>(29.221194, -82.162833)</v>
      </c>
      <c r="AC61" s="1341" t="str">
        <f t="shared" si="8"/>
        <v>&gt;30</v>
      </c>
    </row>
    <row r="62" spans="1:29" ht="14.4" customHeight="1">
      <c r="A62" s="649">
        <v>33351</v>
      </c>
      <c r="B62" s="650" t="s">
        <v>37</v>
      </c>
      <c r="D62" s="650" t="s">
        <v>206</v>
      </c>
      <c r="E62" s="1"/>
      <c r="F62" s="650">
        <v>303.01</v>
      </c>
      <c r="G62" s="650" t="s">
        <v>37</v>
      </c>
      <c r="L62" s="654">
        <v>15.01</v>
      </c>
      <c r="M62" s="654" t="s">
        <v>33</v>
      </c>
      <c r="N62" s="208"/>
      <c r="O62" s="655" t="str">
        <f t="array" ref="O62">IFERROR(IF(QCT_metro_or_nonmetro="Metro",INDEX($F$23:$F$748,SMALL(IF((County=$G$23:$G$748),MATCH(ROW($G$23:$G$748),ROW($G$23:$G$748)),""),ROWS($A$23:A62))),INDEX($I$23:$I$52,SMALL(IF((County=$J$23:$J$52),MATCH(ROW($J$23:$J$52),ROW($J$23:$J$52)),""),ROWS($A$23:A62)))),"")</f>
        <v/>
      </c>
      <c r="Q62" s="655" t="str">
        <f t="array" ref="Q62">IFERROR(IF(Geo_Area_of_Opp_boost="Yes",INDEX($L$23:$L$2323,SMALL(IF((County=$M$23:$M$2323),MATCH(ROW($M$23:$M$2323),ROW($M$23:$M$2323)),""),ROWS($A$23:A62))),""),"")</f>
        <v/>
      </c>
      <c r="S62" s="1528" t="s">
        <v>81</v>
      </c>
      <c r="T62" s="1528" t="s">
        <v>1870</v>
      </c>
      <c r="U62" s="1528" t="s">
        <v>2028</v>
      </c>
      <c r="V62" s="1528">
        <v>24.726161000000001</v>
      </c>
      <c r="W62" s="1528">
        <v>-81.013914</v>
      </c>
      <c r="X62" s="1531" t="s">
        <v>1808</v>
      </c>
      <c r="Y62" s="1531" t="s">
        <v>715</v>
      </c>
      <c r="Z62" s="1340" t="str">
        <f t="shared" si="5"/>
        <v>Monroe - Coco Vista - sites 1-2</v>
      </c>
      <c r="AA62" s="1340" t="str">
        <f t="shared" si="6"/>
        <v>Workforce</v>
      </c>
      <c r="AB62" s="1340" t="str">
        <f t="shared" si="7"/>
        <v>(24.726161, -81.013914)</v>
      </c>
      <c r="AC62" s="1341" t="str">
        <f t="shared" si="8"/>
        <v>&gt;30</v>
      </c>
    </row>
    <row r="63" spans="1:29" ht="14.4" customHeight="1">
      <c r="A63" s="649">
        <v>33442</v>
      </c>
      <c r="B63" s="650" t="s">
        <v>37</v>
      </c>
      <c r="E63" s="1"/>
      <c r="F63" s="650">
        <v>303.02</v>
      </c>
      <c r="G63" s="650" t="s">
        <v>37</v>
      </c>
      <c r="L63" s="654">
        <v>19</v>
      </c>
      <c r="M63" s="654" t="s">
        <v>33</v>
      </c>
      <c r="N63" s="208"/>
      <c r="O63" s="655" t="str">
        <f t="array" ref="O63">IFERROR(IF(QCT_metro_or_nonmetro="Metro",INDEX($F$23:$F$748,SMALL(IF((County=$G$23:$G$748),MATCH(ROW($G$23:$G$748),ROW($G$23:$G$748)),""),ROWS($A$23:A63))),INDEX($I$23:$I$52,SMALL(IF((County=$J$23:$J$52),MATCH(ROW($J$23:$J$52),ROW($J$23:$J$52)),""),ROWS($A$23:A63)))),"")</f>
        <v/>
      </c>
      <c r="Q63" s="655" t="str">
        <f t="array" ref="Q63">IFERROR(IF(Geo_Area_of_Opp_boost="Yes",INDEX($L$23:$L$2323,SMALL(IF((County=$M$23:$M$2323),MATCH(ROW($M$23:$M$2323),ROW($M$23:$M$2323)),""),ROWS($A$23:A63))),""),"")</f>
        <v/>
      </c>
      <c r="S63" s="1528" t="s">
        <v>81</v>
      </c>
      <c r="T63" s="1528" t="s">
        <v>1871</v>
      </c>
      <c r="U63" s="1528" t="s">
        <v>1872</v>
      </c>
      <c r="V63" s="1528">
        <v>24.550028999999999</v>
      </c>
      <c r="W63" s="1528">
        <v>-81.805183999999997</v>
      </c>
      <c r="X63" s="1538" t="s">
        <v>1808</v>
      </c>
      <c r="Y63" s="1531" t="s">
        <v>715</v>
      </c>
      <c r="Z63" s="1340" t="str">
        <f t="shared" si="5"/>
        <v>Monroe - Lofts at Bahama Village</v>
      </c>
      <c r="AA63" s="1340" t="str">
        <f t="shared" si="6"/>
        <v>Workforce</v>
      </c>
      <c r="AB63" s="1340" t="str">
        <f t="shared" si="7"/>
        <v>(24.550029, -81.805184)</v>
      </c>
      <c r="AC63" s="1341" t="str">
        <f t="shared" si="8"/>
        <v>&gt;30</v>
      </c>
    </row>
    <row r="64" spans="1:29" ht="14.4" customHeight="1">
      <c r="A64" s="649">
        <v>33946</v>
      </c>
      <c r="B64" s="650" t="s">
        <v>42</v>
      </c>
      <c r="D64" s="157" t="s">
        <v>1460</v>
      </c>
      <c r="E64" s="1"/>
      <c r="F64" s="650">
        <v>304.02</v>
      </c>
      <c r="G64" s="650" t="s">
        <v>37</v>
      </c>
      <c r="L64" s="654">
        <v>25</v>
      </c>
      <c r="M64" s="654" t="s">
        <v>33</v>
      </c>
      <c r="N64" s="208"/>
      <c r="O64" s="655" t="str">
        <f t="array" ref="O64">IFERROR(IF(QCT_metro_or_nonmetro="Metro",INDEX($F$23:$F$748,SMALL(IF((County=$G$23:$G$748),MATCH(ROW($G$23:$G$748),ROW($G$23:$G$748)),""),ROWS($A$23:A64))),INDEX($I$23:$I$52,SMALL(IF((County=$J$23:$J$52),MATCH(ROW($J$23:$J$52),ROW($J$23:$J$52)),""),ROWS($A$23:A64)))),"")</f>
        <v/>
      </c>
      <c r="Q64" s="655" t="str">
        <f t="array" ref="Q64">IFERROR(IF(Geo_Area_of_Opp_boost="Yes",INDEX($L$23:$L$2323,SMALL(IF((County=$M$23:$M$2323),MATCH(ROW($M$23:$M$2323),ROW($M$23:$M$2323)),""),ROWS($A$23:A64))),""),"")</f>
        <v/>
      </c>
      <c r="S64" s="1528" t="s">
        <v>84</v>
      </c>
      <c r="T64" s="1528" t="s">
        <v>1873</v>
      </c>
      <c r="U64" s="1528" t="s">
        <v>1874</v>
      </c>
      <c r="V64" s="1528">
        <v>30.739277000000001</v>
      </c>
      <c r="W64" s="1528">
        <v>-86.556075000000007</v>
      </c>
      <c r="X64" s="1531" t="s">
        <v>1795</v>
      </c>
      <c r="Y64" s="1533" t="s">
        <v>715</v>
      </c>
      <c r="Z64" s="1340" t="str">
        <f t="shared" si="5"/>
        <v>Okaloosa - Arbours at Crestview</v>
      </c>
      <c r="AA64" s="1340" t="str">
        <f t="shared" si="6"/>
        <v>Family</v>
      </c>
      <c r="AB64" s="1340" t="str">
        <f t="shared" si="7"/>
        <v>(30.739277, -86.556075)</v>
      </c>
      <c r="AC64" s="1341" t="str">
        <f t="shared" si="8"/>
        <v>&gt;30</v>
      </c>
    </row>
    <row r="65" spans="1:29" ht="14.4" customHeight="1">
      <c r="A65" s="649">
        <v>33947</v>
      </c>
      <c r="B65" s="650" t="s">
        <v>42</v>
      </c>
      <c r="D65" s="652" t="s">
        <v>1453</v>
      </c>
      <c r="E65" s="1"/>
      <c r="F65" s="650">
        <v>305</v>
      </c>
      <c r="G65" s="650" t="s">
        <v>37</v>
      </c>
      <c r="L65" s="654">
        <v>26.01</v>
      </c>
      <c r="M65" s="654" t="s">
        <v>33</v>
      </c>
      <c r="N65" s="208"/>
      <c r="O65" s="655" t="str">
        <f t="array" ref="O65">IFERROR(IF(QCT_metro_or_nonmetro="Metro",INDEX($F$23:$F$748,SMALL(IF((County=$G$23:$G$748),MATCH(ROW($G$23:$G$748),ROW($G$23:$G$748)),""),ROWS($A$23:A65))),INDEX($I$23:$I$52,SMALL(IF((County=$J$23:$J$52),MATCH(ROW($J$23:$J$52),ROW($J$23:$J$52)),""),ROWS($A$23:A65)))),"")</f>
        <v/>
      </c>
      <c r="Q65" s="655" t="str">
        <f t="array" ref="Q65">IFERROR(IF(Geo_Area_of_Opp_boost="Yes",INDEX($L$23:$L$2323,SMALL(IF((County=$M$23:$M$2323),MATCH(ROW($M$23:$M$2323),ROW($M$23:$M$2323)),""),ROWS($A$23:A65))),""),"")</f>
        <v/>
      </c>
      <c r="S65" s="1528" t="s">
        <v>84</v>
      </c>
      <c r="T65" s="1528" t="s">
        <v>1875</v>
      </c>
      <c r="U65" s="1528" t="s">
        <v>1876</v>
      </c>
      <c r="V65" s="1340">
        <v>30.742882999999999</v>
      </c>
      <c r="W65" s="1340">
        <v>-86.556235999999998</v>
      </c>
      <c r="X65" s="1531" t="s">
        <v>1792</v>
      </c>
      <c r="Y65" s="1531" t="s">
        <v>715</v>
      </c>
      <c r="Z65" s="1340" t="str">
        <f t="shared" si="5"/>
        <v>Okaloosa - Princeton Grove</v>
      </c>
      <c r="AA65" s="1340" t="str">
        <f t="shared" si="6"/>
        <v>Elderly, Non-ALF</v>
      </c>
      <c r="AB65" s="1340" t="str">
        <f t="shared" si="7"/>
        <v>(30.742883, -86.556236)</v>
      </c>
      <c r="AC65" s="1341" t="str">
        <f t="shared" si="8"/>
        <v>&gt;30</v>
      </c>
    </row>
    <row r="66" spans="1:29" ht="14.4" customHeight="1">
      <c r="A66" s="649">
        <v>33954</v>
      </c>
      <c r="B66" s="650" t="s">
        <v>42</v>
      </c>
      <c r="D66" s="652" t="s">
        <v>196</v>
      </c>
      <c r="E66" s="1"/>
      <c r="F66" s="650">
        <v>308.01</v>
      </c>
      <c r="G66" s="650" t="s">
        <v>37</v>
      </c>
      <c r="L66" s="654">
        <v>26.04</v>
      </c>
      <c r="M66" s="654" t="s">
        <v>33</v>
      </c>
      <c r="N66" s="208"/>
      <c r="O66" s="655" t="str">
        <f t="array" ref="O66">IFERROR(IF(QCT_metro_or_nonmetro="Metro",INDEX($F$23:$F$748,SMALL(IF((County=$G$23:$G$748),MATCH(ROW($G$23:$G$748),ROW($G$23:$G$748)),""),ROWS($A$23:A66))),INDEX($I$23:$I$52,SMALL(IF((County=$J$23:$J$52),MATCH(ROW($J$23:$J$52),ROW($J$23:$J$52)),""),ROWS($A$23:A66)))),"")</f>
        <v/>
      </c>
      <c r="Q66" s="655" t="str">
        <f t="array" ref="Q66">IFERROR(IF(Geo_Area_of_Opp_boost="Yes",INDEX($L$23:$L$2323,SMALL(IF((County=$M$23:$M$2323),MATCH(ROW($M$23:$M$2323),ROW($M$23:$M$2323)),""),ROWS($A$23:A66))),""),"")</f>
        <v/>
      </c>
      <c r="S66" s="1528" t="s">
        <v>84</v>
      </c>
      <c r="T66" s="1528" t="s">
        <v>1877</v>
      </c>
      <c r="U66" s="1528" t="s">
        <v>1878</v>
      </c>
      <c r="V66" s="1537">
        <v>30.427481</v>
      </c>
      <c r="W66" s="1530">
        <v>-86.652214000000001</v>
      </c>
      <c r="X66" s="1531" t="s">
        <v>1792</v>
      </c>
      <c r="Y66" s="1341" t="s">
        <v>715</v>
      </c>
      <c r="Z66" s="1340" t="str">
        <f t="shared" si="5"/>
        <v>Okaloosa - Shoreline Villas</v>
      </c>
      <c r="AA66" s="1340" t="str">
        <f t="shared" si="6"/>
        <v>Elderly, Non-ALF</v>
      </c>
      <c r="AB66" s="1340" t="str">
        <f t="shared" si="7"/>
        <v>(30.427481, -86.652214)</v>
      </c>
      <c r="AC66" s="1341" t="str">
        <f t="shared" si="8"/>
        <v>&gt;30</v>
      </c>
    </row>
    <row r="67" spans="1:29" ht="14.4" customHeight="1">
      <c r="A67" s="649">
        <v>33955</v>
      </c>
      <c r="B67" s="650" t="s">
        <v>42</v>
      </c>
      <c r="D67" s="652" t="s">
        <v>197</v>
      </c>
      <c r="E67" s="1"/>
      <c r="F67" s="650">
        <v>408.01</v>
      </c>
      <c r="G67" s="650" t="s">
        <v>37</v>
      </c>
      <c r="L67" s="654">
        <v>26.06</v>
      </c>
      <c r="M67" s="654" t="s">
        <v>33</v>
      </c>
      <c r="N67" s="208"/>
      <c r="O67" s="655" t="str">
        <f t="array" ref="O67">IFERROR(IF(QCT_metro_or_nonmetro="Metro",INDEX($F$23:$F$748,SMALL(IF((County=$G$23:$G$748),MATCH(ROW($G$23:$G$748),ROW($G$23:$G$748)),""),ROWS($A$23:A67))),INDEX($I$23:$I$52,SMALL(IF((County=$J$23:$J$52),MATCH(ROW($J$23:$J$52),ROW($J$23:$J$52)),""),ROWS($A$23:A67)))),"")</f>
        <v/>
      </c>
      <c r="Q67" s="655" t="str">
        <f t="array" ref="Q67">IFERROR(IF(Geo_Area_of_Opp_boost="Yes",INDEX($L$23:$L$2323,SMALL(IF((County=$M$23:$M$2323),MATCH(ROW($M$23:$M$2323),ROW($M$23:$M$2323)),""),ROWS($A$23:A67))),""),"")</f>
        <v/>
      </c>
      <c r="S67" s="1532" t="s">
        <v>87</v>
      </c>
      <c r="T67" s="1532" t="s">
        <v>1879</v>
      </c>
      <c r="U67" s="1528" t="s">
        <v>1880</v>
      </c>
      <c r="V67" s="1528">
        <v>28.265356000000001</v>
      </c>
      <c r="W67" s="1535">
        <v>-81.485287</v>
      </c>
      <c r="X67" s="1531" t="s">
        <v>1795</v>
      </c>
      <c r="Y67" s="1533" t="s">
        <v>715</v>
      </c>
      <c r="Z67" s="1340" t="str">
        <f t="shared" si="5"/>
        <v>Osceola - Falcon Trace II</v>
      </c>
      <c r="AA67" s="1340" t="str">
        <f t="shared" si="6"/>
        <v>Family</v>
      </c>
      <c r="AB67" s="1340" t="str">
        <f t="shared" si="7"/>
        <v>(28.265356, -81.485287)</v>
      </c>
      <c r="AC67" s="1341" t="str">
        <f t="shared" si="8"/>
        <v>&gt;30</v>
      </c>
    </row>
    <row r="68" spans="1:29" ht="14.4" customHeight="1">
      <c r="A68" s="649">
        <v>33981</v>
      </c>
      <c r="B68" s="650" t="s">
        <v>42</v>
      </c>
      <c r="D68" s="652" t="s">
        <v>200</v>
      </c>
      <c r="E68" s="1"/>
      <c r="F68" s="650">
        <v>409.01</v>
      </c>
      <c r="G68" s="650" t="s">
        <v>37</v>
      </c>
      <c r="L68" s="654">
        <v>26.07</v>
      </c>
      <c r="M68" s="654" t="s">
        <v>33</v>
      </c>
      <c r="N68" s="208"/>
      <c r="O68" s="655" t="str">
        <f t="array" ref="O68">IFERROR(IF(QCT_metro_or_nonmetro="Metro",INDEX($F$23:$F$748,SMALL(IF((County=$G$23:$G$748),MATCH(ROW($G$23:$G$748),ROW($G$23:$G$748)),""),ROWS($A$23:A68))),INDEX($I$23:$I$52,SMALL(IF((County=$J$23:$J$52),MATCH(ROW($J$23:$J$52),ROW($J$23:$J$52)),""),ROWS($A$23:A68)))),"")</f>
        <v/>
      </c>
      <c r="Q68" s="655" t="str">
        <f t="array" ref="Q68">IFERROR(IF(Geo_Area_of_Opp_boost="Yes",INDEX($L$23:$L$2323,SMALL(IF((County=$M$23:$M$2323),MATCH(ROW($M$23:$M$2323),ROW($M$23:$M$2323)),""),ROWS($A$23:A68))),""),"")</f>
        <v/>
      </c>
      <c r="S68" s="1528" t="s">
        <v>87</v>
      </c>
      <c r="T68" s="1528" t="s">
        <v>1881</v>
      </c>
      <c r="U68" s="1528" t="s">
        <v>1882</v>
      </c>
      <c r="V68" s="1528">
        <v>28.229972</v>
      </c>
      <c r="W68" s="1528">
        <v>-81.307528000000005</v>
      </c>
      <c r="X68" s="1538" t="s">
        <v>1792</v>
      </c>
      <c r="Y68" s="1531" t="s">
        <v>715</v>
      </c>
      <c r="Z68" s="1340" t="str">
        <f t="shared" si="5"/>
        <v>Osceola - Madison Grove</v>
      </c>
      <c r="AA68" s="1340" t="str">
        <f t="shared" si="6"/>
        <v>Elderly, Non-ALF</v>
      </c>
      <c r="AB68" s="1340" t="str">
        <f t="shared" si="7"/>
        <v>(28.229972, -81.307528)</v>
      </c>
      <c r="AC68" s="1341" t="str">
        <f t="shared" si="8"/>
        <v>&gt;30</v>
      </c>
    </row>
    <row r="69" spans="1:29" ht="14.4" customHeight="1">
      <c r="A69" s="649">
        <v>34429</v>
      </c>
      <c r="B69" s="650" t="s">
        <v>43</v>
      </c>
      <c r="E69" s="1"/>
      <c r="F69" s="650">
        <v>409.02</v>
      </c>
      <c r="G69" s="650" t="s">
        <v>37</v>
      </c>
      <c r="L69" s="654">
        <v>26.08</v>
      </c>
      <c r="M69" s="654" t="s">
        <v>33</v>
      </c>
      <c r="N69" s="208"/>
      <c r="O69" s="655" t="str">
        <f t="array" ref="O69">IFERROR(IF(QCT_metro_or_nonmetro="Metro",INDEX($F$23:$F$748,SMALL(IF((County=$G$23:$G$748),MATCH(ROW($G$23:$G$748),ROW($G$23:$G$748)),""),ROWS($A$23:A69))),INDEX($I$23:$I$52,SMALL(IF((County=$J$23:$J$52),MATCH(ROW($J$23:$J$52),ROW($J$23:$J$52)),""),ROWS($A$23:A69)))),"")</f>
        <v/>
      </c>
      <c r="Q69" s="655" t="str">
        <f t="array" ref="Q69">IFERROR(IF(Geo_Area_of_Opp_boost="Yes",INDEX($L$23:$L$2323,SMALL(IF((County=$M$23:$M$2323),MATCH(ROW($M$23:$M$2323),ROW($M$23:$M$2323)),""),ROWS($A$23:A69))),""),"")</f>
        <v/>
      </c>
      <c r="S69" s="1528" t="s">
        <v>87</v>
      </c>
      <c r="T69" s="1544" t="s">
        <v>1883</v>
      </c>
      <c r="U69" s="1544" t="s">
        <v>1884</v>
      </c>
      <c r="V69" s="1534">
        <v>28.308364999999998</v>
      </c>
      <c r="W69" s="1530">
        <v>-81.448998000000003</v>
      </c>
      <c r="X69" s="1538" t="s">
        <v>1795</v>
      </c>
      <c r="Y69" s="1341" t="s">
        <v>715</v>
      </c>
      <c r="Z69" s="1340" t="str">
        <f t="shared" si="5"/>
        <v>Osceola - Pinnacle at the Wesleyan</v>
      </c>
      <c r="AA69" s="1340" t="str">
        <f t="shared" si="6"/>
        <v>Family</v>
      </c>
      <c r="AB69" s="1340" t="str">
        <f t="shared" si="7"/>
        <v>(28.308365, -81.448998)</v>
      </c>
      <c r="AC69" s="1341" t="str">
        <f t="shared" si="8"/>
        <v>&gt;30</v>
      </c>
    </row>
    <row r="70" spans="1:29" ht="14.4" customHeight="1">
      <c r="A70" s="649">
        <v>34434</v>
      </c>
      <c r="B70" s="650" t="s">
        <v>43</v>
      </c>
      <c r="E70" s="1"/>
      <c r="F70" s="650">
        <v>410</v>
      </c>
      <c r="G70" s="650" t="s">
        <v>37</v>
      </c>
      <c r="L70" s="654">
        <v>27.01</v>
      </c>
      <c r="M70" s="654" t="s">
        <v>33</v>
      </c>
      <c r="N70" s="208"/>
      <c r="O70" s="655" t="str">
        <f t="array" ref="O70">IFERROR(IF(QCT_metro_or_nonmetro="Metro",INDEX($F$23:$F$748,SMALL(IF((County=$G$23:$G$748),MATCH(ROW($G$23:$G$748),ROW($G$23:$G$748)),""),ROWS($A$23:A70))),INDEX($I$23:$I$52,SMALL(IF((County=$J$23:$J$52),MATCH(ROW($J$23:$J$52),ROW($J$23:$J$52)),""),ROWS($A$23:A70)))),"")</f>
        <v/>
      </c>
      <c r="Q70" s="655" t="str">
        <f t="array" ref="Q70">IFERROR(IF(Geo_Area_of_Opp_boost="Yes",INDEX($L$23:$L$2323,SMALL(IF((County=$M$23:$M$2323),MATCH(ROW($M$23:$M$2323),ROW($M$23:$M$2323)),""),ROWS($A$23:A70))),""),"")</f>
        <v/>
      </c>
      <c r="S70" s="1528" t="s">
        <v>87</v>
      </c>
      <c r="T70" s="1528" t="s">
        <v>1885</v>
      </c>
      <c r="U70" s="1528" t="s">
        <v>1886</v>
      </c>
      <c r="V70" s="1537">
        <v>28.310184</v>
      </c>
      <c r="W70" s="1530">
        <v>-81.454538999999997</v>
      </c>
      <c r="X70" s="1531" t="s">
        <v>1795</v>
      </c>
      <c r="Y70" s="1341" t="s">
        <v>715</v>
      </c>
      <c r="Z70" s="1340" t="str">
        <f t="shared" si="5"/>
        <v>Osceola - Rosewood Pointe</v>
      </c>
      <c r="AA70" s="1340" t="str">
        <f t="shared" si="6"/>
        <v>Family</v>
      </c>
      <c r="AB70" s="1340" t="str">
        <f t="shared" si="7"/>
        <v>(28.310184, -81.454539)</v>
      </c>
      <c r="AC70" s="1341" t="str">
        <f t="shared" si="8"/>
        <v>&gt;30</v>
      </c>
    </row>
    <row r="71" spans="1:29" ht="14.4" customHeight="1">
      <c r="A71" s="649">
        <v>34446</v>
      </c>
      <c r="B71" s="650" t="s">
        <v>43</v>
      </c>
      <c r="E71" s="1"/>
      <c r="F71" s="650">
        <v>412</v>
      </c>
      <c r="G71" s="650" t="s">
        <v>37</v>
      </c>
      <c r="L71" s="654">
        <v>27.02</v>
      </c>
      <c r="M71" s="654" t="s">
        <v>33</v>
      </c>
      <c r="N71" s="208"/>
      <c r="O71" s="655" t="str">
        <f t="array" ref="O71">IFERROR(IF(QCT_metro_or_nonmetro="Metro",INDEX($F$23:$F$748,SMALL(IF((County=$G$23:$G$748),MATCH(ROW($G$23:$G$748),ROW($G$23:$G$748)),""),ROWS($A$23:A71))),INDEX($I$23:$I$52,SMALL(IF((County=$J$23:$J$52),MATCH(ROW($J$23:$J$52),ROW($J$23:$J$52)),""),ROWS($A$23:A71)))),"")</f>
        <v/>
      </c>
      <c r="Q71" s="655" t="str">
        <f t="array" ref="Q71">IFERROR(IF(Geo_Area_of_Opp_boost="Yes",INDEX($L$23:$L$2323,SMALL(IF((County=$M$23:$M$2323),MATCH(ROW($M$23:$M$2323),ROW($M$23:$M$2323)),""),ROWS($A$23:A71))),""),"")</f>
        <v/>
      </c>
      <c r="S71" s="1528" t="s">
        <v>87</v>
      </c>
      <c r="T71" s="1528" t="s">
        <v>1887</v>
      </c>
      <c r="U71" s="1528" t="s">
        <v>1888</v>
      </c>
      <c r="V71" s="1340">
        <v>28.310379000000001</v>
      </c>
      <c r="W71" s="1340">
        <v>-81.460538</v>
      </c>
      <c r="X71" s="1545" t="s">
        <v>1795</v>
      </c>
      <c r="Y71" s="1341" t="s">
        <v>715</v>
      </c>
      <c r="Z71" s="1340" t="str">
        <f t="shared" si="5"/>
        <v xml:space="preserve">Osceola - The Salix on Vine </v>
      </c>
      <c r="AA71" s="1340" t="str">
        <f t="shared" si="6"/>
        <v>Family</v>
      </c>
      <c r="AB71" s="1340" t="str">
        <f t="shared" si="7"/>
        <v>(28.310379, -81.460538)</v>
      </c>
      <c r="AC71" s="1341" t="str">
        <f t="shared" si="8"/>
        <v>&gt;30</v>
      </c>
    </row>
    <row r="72" spans="1:29" ht="14.4" customHeight="1">
      <c r="A72" s="649">
        <v>34453</v>
      </c>
      <c r="B72" s="650" t="s">
        <v>43</v>
      </c>
      <c r="E72" s="1"/>
      <c r="F72" s="650">
        <v>413</v>
      </c>
      <c r="G72" s="650" t="s">
        <v>37</v>
      </c>
      <c r="L72" s="654">
        <v>27.03</v>
      </c>
      <c r="M72" s="654" t="s">
        <v>33</v>
      </c>
      <c r="N72" s="208"/>
      <c r="O72" s="655" t="str">
        <f t="array" ref="O72">IFERROR(IF(QCT_metro_or_nonmetro="Metro",INDEX($F$23:$F$748,SMALL(IF((County=$G$23:$G$748),MATCH(ROW($G$23:$G$748),ROW($G$23:$G$748)),""),ROWS($A$23:A72))),INDEX($I$23:$I$52,SMALL(IF((County=$J$23:$J$52),MATCH(ROW($J$23:$J$52),ROW($J$23:$J$52)),""),ROWS($A$23:A72)))),"")</f>
        <v/>
      </c>
      <c r="Q72" s="655" t="str">
        <f t="array" ref="Q72">IFERROR(IF(Geo_Area_of_Opp_boost="Yes",INDEX($L$23:$L$2323,SMALL(IF((County=$M$23:$M$2323),MATCH(ROW($M$23:$M$2323),ROW($M$23:$M$2323)),""),ROWS($A$23:A72))),""),"")</f>
        <v/>
      </c>
      <c r="S72" s="1340" t="s">
        <v>89</v>
      </c>
      <c r="T72" s="1340" t="s">
        <v>1889</v>
      </c>
      <c r="U72" s="1340" t="s">
        <v>1890</v>
      </c>
      <c r="V72" s="1340">
        <v>28.253896999999998</v>
      </c>
      <c r="W72" s="1340">
        <v>-82.730421000000007</v>
      </c>
      <c r="X72" s="1341" t="s">
        <v>1795</v>
      </c>
      <c r="Y72" s="1341" t="s">
        <v>715</v>
      </c>
      <c r="Z72" s="1340" t="str">
        <f t="shared" si="5"/>
        <v>Pasco - Oaks at Green Key Apartments</v>
      </c>
      <c r="AA72" s="1340" t="str">
        <f t="shared" si="6"/>
        <v>Family</v>
      </c>
      <c r="AB72" s="1340" t="str">
        <f t="shared" si="7"/>
        <v>(28.253897, -82.730421)</v>
      </c>
      <c r="AC72" s="1341" t="str">
        <f t="shared" si="8"/>
        <v>&gt;30</v>
      </c>
    </row>
    <row r="73" spans="1:29" ht="14.4" customHeight="1">
      <c r="A73" s="651">
        <v>32003</v>
      </c>
      <c r="B73" s="652" t="s">
        <v>44</v>
      </c>
      <c r="E73" s="1"/>
      <c r="F73" s="650">
        <v>414</v>
      </c>
      <c r="G73" s="650" t="s">
        <v>37</v>
      </c>
      <c r="L73" s="654">
        <v>27.04</v>
      </c>
      <c r="M73" s="654" t="s">
        <v>33</v>
      </c>
      <c r="N73" s="208"/>
      <c r="O73" s="655" t="str">
        <f t="array" ref="O73">IFERROR(IF(QCT_metro_or_nonmetro="Metro",INDEX($F$23:$F$748,SMALL(IF((County=$G$23:$G$748),MATCH(ROW($G$23:$G$748),ROW($G$23:$G$748)),""),ROWS($A$23:A73))),INDEX($I$23:$I$52,SMALL(IF((County=$J$23:$J$52),MATCH(ROW($J$23:$J$52),ROW($J$23:$J$52)),""),ROWS($A$23:A73)))),"")</f>
        <v/>
      </c>
      <c r="Q73" s="655" t="str">
        <f t="array" ref="Q73">IFERROR(IF(Geo_Area_of_Opp_boost="Yes",INDEX($L$23:$L$2323,SMALL(IF((County=$M$23:$M$2323),MATCH(ROW($M$23:$M$2323),ROW($M$23:$M$2323)),""),ROWS($A$23:A73))),""),"")</f>
        <v/>
      </c>
      <c r="S73" s="1528" t="s">
        <v>89</v>
      </c>
      <c r="T73" s="1528" t="s">
        <v>1891</v>
      </c>
      <c r="U73" s="1528" t="s">
        <v>1892</v>
      </c>
      <c r="V73" s="1530">
        <v>28.215907000000001</v>
      </c>
      <c r="W73" s="1536">
        <v>-82.679582999999994</v>
      </c>
      <c r="X73" s="1531" t="s">
        <v>1795</v>
      </c>
      <c r="Y73" s="1341" t="s">
        <v>715</v>
      </c>
      <c r="Z73" s="1340" t="str">
        <f t="shared" si="5"/>
        <v>Pasco - Tanager Square</v>
      </c>
      <c r="AA73" s="1340" t="str">
        <f t="shared" si="6"/>
        <v>Family</v>
      </c>
      <c r="AB73" s="1340" t="str">
        <f t="shared" si="7"/>
        <v>(28.215907, -82.679583)</v>
      </c>
      <c r="AC73" s="1341" t="str">
        <f t="shared" si="8"/>
        <v>&gt;30</v>
      </c>
    </row>
    <row r="74" spans="1:29" ht="14.4" customHeight="1">
      <c r="A74" s="649">
        <v>34103</v>
      </c>
      <c r="B74" s="650" t="s">
        <v>45</v>
      </c>
      <c r="E74" s="1"/>
      <c r="F74" s="650">
        <v>415</v>
      </c>
      <c r="G74" s="650" t="s">
        <v>37</v>
      </c>
      <c r="L74" s="654">
        <v>27.05</v>
      </c>
      <c r="M74" s="654" t="s">
        <v>33</v>
      </c>
      <c r="N74" s="208"/>
      <c r="O74" s="655" t="str">
        <f t="array" ref="O74">IFERROR(IF(QCT_metro_or_nonmetro="Metro",INDEX($F$23:$F$748,SMALL(IF((County=$G$23:$G$748),MATCH(ROW($G$23:$G$748),ROW($G$23:$G$748)),""),ROWS($A$23:A74))),INDEX($I$23:$I$52,SMALL(IF((County=$J$23:$J$52),MATCH(ROW($J$23:$J$52),ROW($J$23:$J$52)),""),ROWS($A$23:A74)))),"")</f>
        <v/>
      </c>
      <c r="Q74" s="655" t="str">
        <f t="array" ref="Q74">IFERROR(IF(Geo_Area_of_Opp_boost="Yes",INDEX($L$23:$L$2323,SMALL(IF((County=$M$23:$M$2323),MATCH(ROW($M$23:$M$2323),ROW($M$23:$M$2323)),""),ROWS($A$23:A74))),""),"")</f>
        <v/>
      </c>
      <c r="S74" s="1528" t="s">
        <v>92</v>
      </c>
      <c r="T74" s="1544" t="s">
        <v>1893</v>
      </c>
      <c r="U74" s="1544" t="s">
        <v>1894</v>
      </c>
      <c r="V74" s="1534">
        <v>28.042382</v>
      </c>
      <c r="W74" s="1530">
        <v>-81.727389000000002</v>
      </c>
      <c r="X74" s="1538" t="s">
        <v>1795</v>
      </c>
      <c r="Y74" s="1341" t="s">
        <v>715</v>
      </c>
      <c r="Z74" s="1340" t="str">
        <f t="shared" si="5"/>
        <v>Polk - Florence Place</v>
      </c>
      <c r="AA74" s="1340" t="str">
        <f t="shared" si="6"/>
        <v>Family</v>
      </c>
      <c r="AB74" s="1340" t="str">
        <f t="shared" si="7"/>
        <v>(28.042382, -81.727389)</v>
      </c>
      <c r="AC74" s="1341" t="str">
        <f t="shared" si="8"/>
        <v>&gt;30</v>
      </c>
    </row>
    <row r="75" spans="1:29" ht="14.4" customHeight="1">
      <c r="A75" s="649">
        <v>34105</v>
      </c>
      <c r="B75" s="650" t="s">
        <v>45</v>
      </c>
      <c r="E75" s="1"/>
      <c r="F75" s="650">
        <v>416</v>
      </c>
      <c r="G75" s="650" t="s">
        <v>37</v>
      </c>
      <c r="L75" s="654">
        <v>2</v>
      </c>
      <c r="M75" s="654" t="s">
        <v>35</v>
      </c>
      <c r="N75" s="208"/>
      <c r="O75" s="655" t="str">
        <f t="array" ref="O75">IFERROR(IF(QCT_metro_or_nonmetro="Metro",INDEX($F$23:$F$748,SMALL(IF((County=$G$23:$G$748),MATCH(ROW($G$23:$G$748),ROW($G$23:$G$748)),""),ROWS($A$23:A75))),INDEX($I$23:$I$52,SMALL(IF((County=$J$23:$J$52),MATCH(ROW($J$23:$J$52),ROW($J$23:$J$52)),""),ROWS($A$23:A75)))),"")</f>
        <v/>
      </c>
      <c r="Q75" s="655" t="str">
        <f t="array" ref="Q75">IFERROR(IF(Geo_Area_of_Opp_boost="Yes",INDEX($L$23:$L$2323,SMALL(IF((County=$M$23:$M$2323),MATCH(ROW($M$23:$M$2323),ROW($M$23:$M$2323)),""),ROWS($A$23:A75))),""),"")</f>
        <v/>
      </c>
      <c r="S75" s="1532" t="s">
        <v>92</v>
      </c>
      <c r="T75" s="1532" t="s">
        <v>1895</v>
      </c>
      <c r="U75" s="1528" t="s">
        <v>1896</v>
      </c>
      <c r="V75" s="1528">
        <v>27.933171999999999</v>
      </c>
      <c r="W75" s="1528">
        <v>-81.965697000000006</v>
      </c>
      <c r="X75" s="1531" t="s">
        <v>1795</v>
      </c>
      <c r="Y75" s="1533" t="s">
        <v>715</v>
      </c>
      <c r="Z75" s="1340" t="str">
        <f t="shared" si="5"/>
        <v>Polk - Park Ridge, f/k/a Oak Park Villas</v>
      </c>
      <c r="AA75" s="1340" t="str">
        <f t="shared" si="6"/>
        <v>Family</v>
      </c>
      <c r="AB75" s="1340" t="str">
        <f t="shared" si="7"/>
        <v>(27.933172, -81.965697)</v>
      </c>
      <c r="AC75" s="1341" t="str">
        <f t="shared" si="8"/>
        <v>&gt;30</v>
      </c>
    </row>
    <row r="76" spans="1:29" ht="14.4" customHeight="1">
      <c r="A76" s="649">
        <v>34108</v>
      </c>
      <c r="B76" s="650" t="s">
        <v>45</v>
      </c>
      <c r="E76" s="1"/>
      <c r="F76" s="650">
        <v>417</v>
      </c>
      <c r="G76" s="650" t="s">
        <v>37</v>
      </c>
      <c r="L76" s="654">
        <v>3</v>
      </c>
      <c r="M76" s="654" t="s">
        <v>35</v>
      </c>
      <c r="N76" s="208"/>
      <c r="O76" s="655" t="str">
        <f t="array" ref="O76">IFERROR(IF(QCT_metro_or_nonmetro="Metro",INDEX($F$23:$F$748,SMALL(IF((County=$G$23:$G$748),MATCH(ROW($G$23:$G$748),ROW($G$23:$G$748)),""),ROWS($A$23:A76))),INDEX($I$23:$I$52,SMALL(IF((County=$J$23:$J$52),MATCH(ROW($J$23:$J$52),ROW($J$23:$J$52)),""),ROWS($A$23:A76)))),"")</f>
        <v/>
      </c>
      <c r="Q76" s="655" t="str">
        <f t="array" ref="Q76">IFERROR(IF(Geo_Area_of_Opp_boost="Yes",INDEX($L$23:$L$2323,SMALL(IF((County=$M$23:$M$2323),MATCH(ROW($M$23:$M$2323),ROW($M$23:$M$2323)),""),ROWS($A$23:A76))),""),"")</f>
        <v/>
      </c>
      <c r="S76" s="1528" t="s">
        <v>92</v>
      </c>
      <c r="T76" s="1528" t="s">
        <v>1897</v>
      </c>
      <c r="U76" s="1528" t="s">
        <v>1898</v>
      </c>
      <c r="V76" s="1528">
        <v>28.080269999999999</v>
      </c>
      <c r="W76" s="1528">
        <v>-81.988981999999993</v>
      </c>
      <c r="X76" s="1531" t="s">
        <v>1795</v>
      </c>
      <c r="Y76" s="1531" t="s">
        <v>715</v>
      </c>
      <c r="Z76" s="1340" t="str">
        <f t="shared" si="5"/>
        <v>Polk - Swan Landing</v>
      </c>
      <c r="AA76" s="1340" t="str">
        <f t="shared" si="6"/>
        <v>Family</v>
      </c>
      <c r="AB76" s="1340" t="str">
        <f t="shared" si="7"/>
        <v>(28.08027, -81.988982)</v>
      </c>
      <c r="AC76" s="1341" t="str">
        <f t="shared" si="8"/>
        <v>&gt;30</v>
      </c>
    </row>
    <row r="77" spans="1:29" ht="14.4" customHeight="1">
      <c r="A77" s="649">
        <v>34110</v>
      </c>
      <c r="B77" s="650" t="s">
        <v>45</v>
      </c>
      <c r="E77" s="1"/>
      <c r="F77" s="650">
        <v>428</v>
      </c>
      <c r="G77" s="650" t="s">
        <v>37</v>
      </c>
      <c r="L77" s="654">
        <v>602</v>
      </c>
      <c r="M77" s="654" t="s">
        <v>36</v>
      </c>
      <c r="N77" s="208"/>
      <c r="O77" s="655" t="str">
        <f t="array" ref="O77">IFERROR(IF(QCT_metro_or_nonmetro="Metro",INDEX($F$23:$F$748,SMALL(IF((County=$G$23:$G$748),MATCH(ROW($G$23:$G$748),ROW($G$23:$G$748)),""),ROWS($A$23:A77))),INDEX($I$23:$I$52,SMALL(IF((County=$J$23:$J$52),MATCH(ROW($J$23:$J$52),ROW($J$23:$J$52)),""),ROWS($A$23:A77)))),"")</f>
        <v/>
      </c>
      <c r="Q77" s="655" t="str">
        <f t="array" ref="Q77">IFERROR(IF(Geo_Area_of_Opp_boost="Yes",INDEX($L$23:$L$2323,SMALL(IF((County=$M$23:$M$2323),MATCH(ROW($M$23:$M$2323),ROW($M$23:$M$2323)),""),ROWS($A$23:A77))),""),"")</f>
        <v/>
      </c>
      <c r="S77" s="1528" t="s">
        <v>1899</v>
      </c>
      <c r="T77" s="1528" t="s">
        <v>1900</v>
      </c>
      <c r="U77" s="1528" t="s">
        <v>2029</v>
      </c>
      <c r="V77" s="1340">
        <v>29.891359999999999</v>
      </c>
      <c r="W77" s="1340">
        <v>-81.344566</v>
      </c>
      <c r="X77" s="1538" t="s">
        <v>1795</v>
      </c>
      <c r="Y77" s="1341" t="s">
        <v>715</v>
      </c>
      <c r="Z77" s="1340" t="str">
        <f t="shared" si="5"/>
        <v>Saint Johns - Villages of New Augustine - sites 1-3</v>
      </c>
      <c r="AA77" s="1340" t="str">
        <f t="shared" si="6"/>
        <v>Family</v>
      </c>
      <c r="AB77" s="1340" t="str">
        <f t="shared" si="7"/>
        <v>(29.89136, -81.344566)</v>
      </c>
      <c r="AC77" s="1341" t="str">
        <f t="shared" si="8"/>
        <v>&gt;30</v>
      </c>
    </row>
    <row r="78" spans="1:29" ht="14.4" customHeight="1">
      <c r="A78" s="649">
        <v>34117</v>
      </c>
      <c r="B78" s="650" t="s">
        <v>45</v>
      </c>
      <c r="E78" s="1"/>
      <c r="F78" s="650">
        <v>433.02</v>
      </c>
      <c r="G78" s="650" t="s">
        <v>37</v>
      </c>
      <c r="L78" s="654">
        <v>611</v>
      </c>
      <c r="M78" s="654" t="s">
        <v>36</v>
      </c>
      <c r="N78" s="208"/>
      <c r="O78" s="655" t="str">
        <f t="array" ref="O78">IFERROR(IF(QCT_metro_or_nonmetro="Metro",INDEX($F$23:$F$748,SMALL(IF((County=$G$23:$G$748),MATCH(ROW($G$23:$G$748),ROW($G$23:$G$748)),""),ROWS($A$23:A78))),INDEX($I$23:$I$52,SMALL(IF((County=$J$23:$J$52),MATCH(ROW($J$23:$J$52),ROW($J$23:$J$52)),""),ROWS($A$23:A78)))),"")</f>
        <v/>
      </c>
      <c r="Q78" s="655" t="str">
        <f t="array" ref="Q78">IFERROR(IF(Geo_Area_of_Opp_boost="Yes",INDEX($L$23:$L$2323,SMALL(IF((County=$M$23:$M$2323),MATCH(ROW($M$23:$M$2323),ROW($M$23:$M$2323)),""),ROWS($A$23:A78))),""),"")</f>
        <v/>
      </c>
      <c r="S78" s="1528" t="s">
        <v>1901</v>
      </c>
      <c r="T78" s="1528" t="s">
        <v>1902</v>
      </c>
      <c r="U78" s="1528" t="s">
        <v>1903</v>
      </c>
      <c r="V78" s="1340">
        <v>27.423636999999999</v>
      </c>
      <c r="W78" s="1340">
        <v>-80.377465999999998</v>
      </c>
      <c r="X78" s="1531" t="s">
        <v>1795</v>
      </c>
      <c r="Y78" s="1531" t="s">
        <v>715</v>
      </c>
      <c r="Z78" s="1340" t="str">
        <f t="shared" si="5"/>
        <v>Saint Lucie - Blue Sky Landing II</v>
      </c>
      <c r="AA78" s="1340" t="str">
        <f t="shared" si="6"/>
        <v>Family</v>
      </c>
      <c r="AB78" s="1340" t="str">
        <f t="shared" si="7"/>
        <v>(27.423637, -80.377466)</v>
      </c>
      <c r="AC78" s="1341" t="str">
        <f t="shared" si="8"/>
        <v>&gt;30</v>
      </c>
    </row>
    <row r="79" spans="1:29" ht="14.4" customHeight="1">
      <c r="A79" s="649">
        <v>34119</v>
      </c>
      <c r="B79" s="650" t="s">
        <v>45</v>
      </c>
      <c r="E79" s="1"/>
      <c r="F79" s="650">
        <v>502.08</v>
      </c>
      <c r="G79" s="650" t="s">
        <v>37</v>
      </c>
      <c r="L79" s="654">
        <v>612.01</v>
      </c>
      <c r="M79" s="654" t="s">
        <v>36</v>
      </c>
      <c r="N79" s="208"/>
      <c r="O79" s="655" t="str">
        <f t="array" ref="O79">IFERROR(IF(QCT_metro_or_nonmetro="Metro",INDEX($F$23:$F$748,SMALL(IF((County=$G$23:$G$748),MATCH(ROW($G$23:$G$748),ROW($G$23:$G$748)),""),ROWS($A$23:A79))),INDEX($I$23:$I$52,SMALL(IF((County=$J$23:$J$52),MATCH(ROW($J$23:$J$52),ROW($J$23:$J$52)),""),ROWS($A$23:A79)))),"")</f>
        <v/>
      </c>
      <c r="Q79" s="655" t="str">
        <f t="array" ref="Q79">IFERROR(IF(Geo_Area_of_Opp_boost="Yes",INDEX($L$23:$L$2323,SMALL(IF((County=$M$23:$M$2323),MATCH(ROW($M$23:$M$2323),ROW($M$23:$M$2323)),""),ROWS($A$23:A79))),""),"")</f>
        <v/>
      </c>
      <c r="S79" s="1528" t="s">
        <v>96</v>
      </c>
      <c r="T79" s="1528" t="s">
        <v>1904</v>
      </c>
      <c r="U79" s="1528" t="s">
        <v>1905</v>
      </c>
      <c r="V79" s="1529">
        <v>30.615003000000002</v>
      </c>
      <c r="W79" s="1530">
        <v>-87.058691999999994</v>
      </c>
      <c r="X79" s="1531" t="s">
        <v>1795</v>
      </c>
      <c r="Y79" s="1341" t="s">
        <v>715</v>
      </c>
      <c r="Z79" s="1340" t="str">
        <f t="shared" si="5"/>
        <v>Santa Rosa - Tranquility at Milton</v>
      </c>
      <c r="AA79" s="1340" t="str">
        <f t="shared" si="6"/>
        <v>Family</v>
      </c>
      <c r="AB79" s="1340" t="str">
        <f t="shared" si="7"/>
        <v>(30.615003, -87.058692)</v>
      </c>
      <c r="AC79" s="1341" t="str">
        <f t="shared" si="8"/>
        <v>&gt;30</v>
      </c>
    </row>
    <row r="80" spans="1:29" ht="14.4" customHeight="1">
      <c r="A80" s="649">
        <v>34120</v>
      </c>
      <c r="B80" s="650" t="s">
        <v>45</v>
      </c>
      <c r="E80" s="1"/>
      <c r="F80" s="650">
        <v>503.07</v>
      </c>
      <c r="G80" s="650" t="s">
        <v>37</v>
      </c>
      <c r="L80" s="654">
        <v>612.02</v>
      </c>
      <c r="M80" s="654" t="s">
        <v>36</v>
      </c>
      <c r="N80" s="208"/>
      <c r="O80" s="655" t="str">
        <f t="array" ref="O80">IFERROR(IF(QCT_metro_or_nonmetro="Metro",INDEX($F$23:$F$748,SMALL(IF((County=$G$23:$G$748),MATCH(ROW($G$23:$G$748),ROW($G$23:$G$748)),""),ROWS($A$23:A80))),INDEX($I$23:$I$52,SMALL(IF((County=$J$23:$J$52),MATCH(ROW($J$23:$J$52),ROW($J$23:$J$52)),""),ROWS($A$23:A80)))),"")</f>
        <v/>
      </c>
      <c r="Q80" s="655" t="str">
        <f t="array" ref="Q80">IFERROR(IF(Geo_Area_of_Opp_boost="Yes",INDEX($L$23:$L$2323,SMALL(IF((County=$M$23:$M$2323),MATCH(ROW($M$23:$M$2323),ROW($M$23:$M$2323)),""),ROWS($A$23:A80))),""),"")</f>
        <v/>
      </c>
      <c r="S80" s="1528" t="s">
        <v>97</v>
      </c>
      <c r="T80" s="1528" t="s">
        <v>1906</v>
      </c>
      <c r="U80" s="1528" t="s">
        <v>1907</v>
      </c>
      <c r="V80" s="1529">
        <v>27.065443999999999</v>
      </c>
      <c r="W80" s="1530">
        <v>-82.159955999999994</v>
      </c>
      <c r="X80" s="1531" t="s">
        <v>1792</v>
      </c>
      <c r="Y80" s="1341" t="s">
        <v>715</v>
      </c>
      <c r="Z80" s="1340" t="str">
        <f t="shared" si="5"/>
        <v>Sarasota - Arbor Park</v>
      </c>
      <c r="AA80" s="1340" t="str">
        <f t="shared" si="6"/>
        <v>Elderly, Non-ALF</v>
      </c>
      <c r="AB80" s="1340" t="str">
        <f t="shared" si="7"/>
        <v>(27.065444, -82.159956)</v>
      </c>
      <c r="AC80" s="1341" t="str">
        <f t="shared" si="8"/>
        <v>&gt;30</v>
      </c>
    </row>
    <row r="81" spans="1:29" ht="14.4" customHeight="1">
      <c r="A81" s="649">
        <v>34140</v>
      </c>
      <c r="B81" s="650" t="s">
        <v>45</v>
      </c>
      <c r="E81" s="1"/>
      <c r="F81" s="650">
        <v>503.08</v>
      </c>
      <c r="G81" s="650" t="s">
        <v>37</v>
      </c>
      <c r="L81" s="654">
        <v>621.03</v>
      </c>
      <c r="M81" s="654" t="s">
        <v>36</v>
      </c>
      <c r="N81" s="208"/>
      <c r="O81" s="655" t="str">
        <f t="array" ref="O81">IFERROR(IF(QCT_metro_or_nonmetro="Metro",INDEX($F$23:$F$748,SMALL(IF((County=$G$23:$G$748),MATCH(ROW($G$23:$G$748),ROW($G$23:$G$748)),""),ROWS($A$23:A81))),INDEX($I$23:$I$52,SMALL(IF((County=$J$23:$J$52),MATCH(ROW($J$23:$J$52),ROW($J$23:$J$52)),""),ROWS($A$23:A81)))),"")</f>
        <v/>
      </c>
      <c r="Q81" s="655" t="str">
        <f t="array" ref="Q81">IFERROR(IF(Geo_Area_of_Opp_boost="Yes",INDEX($L$23:$L$2323,SMALL(IF((County=$M$23:$M$2323),MATCH(ROW($M$23:$M$2323),ROW($M$23:$M$2323)),""),ROWS($A$23:A81))),""),"")</f>
        <v/>
      </c>
      <c r="S81" s="1528" t="s">
        <v>97</v>
      </c>
      <c r="T81" s="1528" t="s">
        <v>1908</v>
      </c>
      <c r="U81" s="1528" t="s">
        <v>1909</v>
      </c>
      <c r="V81" s="1340">
        <v>27.355917000000002</v>
      </c>
      <c r="W81" s="1340">
        <v>-82.537166999999997</v>
      </c>
      <c r="X81" s="1531" t="s">
        <v>1795</v>
      </c>
      <c r="Y81" s="1341" t="s">
        <v>715</v>
      </c>
      <c r="Z81" s="1340" t="str">
        <f t="shared" si="5"/>
        <v>Sarasota - Cypress Square fka Amaryllis Park Place II</v>
      </c>
      <c r="AA81" s="1340" t="str">
        <f t="shared" si="6"/>
        <v>Family</v>
      </c>
      <c r="AB81" s="1340" t="str">
        <f t="shared" si="7"/>
        <v>(27.355917, -82.537167)</v>
      </c>
      <c r="AC81" s="1341" t="str">
        <f t="shared" si="8"/>
        <v>&gt;30</v>
      </c>
    </row>
    <row r="82" spans="1:29" ht="14.4" customHeight="1">
      <c r="A82" s="649">
        <v>34145</v>
      </c>
      <c r="B82" s="650" t="s">
        <v>45</v>
      </c>
      <c r="E82" s="1"/>
      <c r="F82" s="650">
        <v>503.09</v>
      </c>
      <c r="G82" s="650" t="s">
        <v>37</v>
      </c>
      <c r="L82" s="654">
        <v>621.08000000000004</v>
      </c>
      <c r="M82" s="654" t="s">
        <v>36</v>
      </c>
      <c r="N82" s="208"/>
      <c r="O82" s="655" t="str">
        <f t="array" ref="O82">IFERROR(IF(QCT_metro_or_nonmetro="Metro",INDEX($F$23:$F$748,SMALL(IF((County=$G$23:$G$748),MATCH(ROW($G$23:$G$748),ROW($G$23:$G$748)),""),ROWS($A$23:A82))),INDEX($I$23:$I$52,SMALL(IF((County=$J$23:$J$52),MATCH(ROW($J$23:$J$52),ROW($J$23:$J$52)),""),ROWS($A$23:A82)))),"")</f>
        <v/>
      </c>
      <c r="Q82" s="655" t="str">
        <f t="array" ref="Q82">IFERROR(IF(Geo_Area_of_Opp_boost="Yes",INDEX($L$23:$L$2323,SMALL(IF((County=$M$23:$M$2323),MATCH(ROW($M$23:$M$2323),ROW($M$23:$M$2323)),""),ROWS($A$23:A82))),""),"")</f>
        <v/>
      </c>
      <c r="S82" s="1528" t="s">
        <v>98</v>
      </c>
      <c r="T82" s="1528" t="s">
        <v>1910</v>
      </c>
      <c r="U82" s="1528" t="s">
        <v>1911</v>
      </c>
      <c r="V82" s="1528">
        <v>28.668277</v>
      </c>
      <c r="W82" s="1528">
        <v>-81.357022000000001</v>
      </c>
      <c r="X82" s="1531" t="s">
        <v>1795</v>
      </c>
      <c r="Y82" s="1531" t="s">
        <v>715</v>
      </c>
      <c r="Z82" s="1340" t="str">
        <f t="shared" si="5"/>
        <v>Seminole - Banyan East Town Apartments</v>
      </c>
      <c r="AA82" s="1340" t="str">
        <f t="shared" si="6"/>
        <v>Family</v>
      </c>
      <c r="AB82" s="1340" t="str">
        <f t="shared" si="7"/>
        <v>(28.668277, -81.357022)</v>
      </c>
      <c r="AC82" s="1341" t="str">
        <f t="shared" si="8"/>
        <v>&gt;30</v>
      </c>
    </row>
    <row r="83" spans="1:29" ht="14.4" customHeight="1">
      <c r="A83" s="649">
        <v>32212</v>
      </c>
      <c r="B83" s="650" t="s">
        <v>50</v>
      </c>
      <c r="E83" s="1"/>
      <c r="F83" s="650">
        <v>503.11</v>
      </c>
      <c r="G83" s="650" t="s">
        <v>37</v>
      </c>
      <c r="L83" s="654">
        <v>621.09</v>
      </c>
      <c r="M83" s="654" t="s">
        <v>36</v>
      </c>
      <c r="N83" s="208"/>
      <c r="O83" s="655" t="str">
        <f t="array" ref="O83">IFERROR(IF(QCT_metro_or_nonmetro="Metro",INDEX($F$23:$F$748,SMALL(IF((County=$G$23:$G$748),MATCH(ROW($G$23:$G$748),ROW($G$23:$G$748)),""),ROWS($A$23:A83))),INDEX($I$23:$I$52,SMALL(IF((County=$J$23:$J$52),MATCH(ROW($J$23:$J$52),ROW($J$23:$J$52)),""),ROWS($A$23:A83)))),"")</f>
        <v/>
      </c>
      <c r="Q83" s="655" t="str">
        <f t="array" ref="Q83">IFERROR(IF(Geo_Area_of_Opp_boost="Yes",INDEX($L$23:$L$2323,SMALL(IF((County=$M$23:$M$2323),MATCH(ROW($M$23:$M$2323),ROW($M$23:$M$2323)),""),ROWS($A$23:A83))),""),"")</f>
        <v/>
      </c>
      <c r="S83" s="1528" t="s">
        <v>98</v>
      </c>
      <c r="T83" s="1528" t="s">
        <v>1912</v>
      </c>
      <c r="U83" s="1528" t="s">
        <v>1913</v>
      </c>
      <c r="V83" s="1340">
        <v>28.813414000000002</v>
      </c>
      <c r="W83" s="1340">
        <v>-81.292023</v>
      </c>
      <c r="X83" s="1538" t="s">
        <v>1792</v>
      </c>
      <c r="Y83" s="1341" t="s">
        <v>715</v>
      </c>
      <c r="Z83" s="1340" t="str">
        <f t="shared" si="5"/>
        <v>Seminole - Monroe Place</v>
      </c>
      <c r="AA83" s="1340" t="str">
        <f t="shared" si="6"/>
        <v>Elderly, Non-ALF</v>
      </c>
      <c r="AB83" s="1340" t="str">
        <f t="shared" si="7"/>
        <v>(28.813414, -81.292023)</v>
      </c>
      <c r="AC83" s="1341" t="str">
        <f t="shared" si="8"/>
        <v>&gt;30</v>
      </c>
    </row>
    <row r="84" spans="1:29" ht="14.4" customHeight="1">
      <c r="A84" s="649">
        <v>32222</v>
      </c>
      <c r="B84" s="650" t="s">
        <v>50</v>
      </c>
      <c r="E84" s="1"/>
      <c r="F84" s="650">
        <v>507.02</v>
      </c>
      <c r="G84" s="650" t="s">
        <v>37</v>
      </c>
      <c r="L84" s="654">
        <v>628</v>
      </c>
      <c r="M84" s="654" t="s">
        <v>36</v>
      </c>
      <c r="N84" s="208"/>
      <c r="O84" s="655" t="str">
        <f t="array" ref="O84">IFERROR(IF(QCT_metro_or_nonmetro="Metro",INDEX($F$23:$F$748,SMALL(IF((County=$G$23:$G$748),MATCH(ROW($G$23:$G$748),ROW($G$23:$G$748)),""),ROWS($A$23:A84))),INDEX($I$23:$I$52,SMALL(IF((County=$J$23:$J$52),MATCH(ROW($J$23:$J$52),ROW($J$23:$J$52)),""),ROWS($A$23:A84)))),"")</f>
        <v/>
      </c>
      <c r="Q84" s="655" t="str">
        <f t="array" ref="Q84">IFERROR(IF(Geo_Area_of_Opp_boost="Yes",INDEX($L$23:$L$2323,SMALL(IF((County=$M$23:$M$2323),MATCH(ROW($M$23:$M$2323),ROW($M$23:$M$2323)),""),ROWS($A$23:A84))),""),"")</f>
        <v/>
      </c>
      <c r="S84" s="1528" t="s">
        <v>98</v>
      </c>
      <c r="T84" s="1544" t="s">
        <v>1914</v>
      </c>
      <c r="U84" s="1544" t="s">
        <v>1915</v>
      </c>
      <c r="V84" s="1534">
        <v>28.809564999999999</v>
      </c>
      <c r="W84" s="1530">
        <v>-81.281761000000003</v>
      </c>
      <c r="X84" s="1538" t="s">
        <v>1795</v>
      </c>
      <c r="Y84" s="1341" t="s">
        <v>715</v>
      </c>
      <c r="Z84" s="1340" t="str">
        <f t="shared" si="5"/>
        <v>Seminole - Somerset Landings</v>
      </c>
      <c r="AA84" s="1340" t="str">
        <f t="shared" si="6"/>
        <v>Family</v>
      </c>
      <c r="AB84" s="1340" t="str">
        <f t="shared" si="7"/>
        <v>(28.809565, -81.281761)</v>
      </c>
      <c r="AC84" s="1341" t="str">
        <f t="shared" si="8"/>
        <v>&gt;30</v>
      </c>
    </row>
    <row r="85" spans="1:29" ht="14.4" customHeight="1">
      <c r="A85" s="649">
        <v>32224</v>
      </c>
      <c r="B85" s="650" t="s">
        <v>50</v>
      </c>
      <c r="E85" s="1"/>
      <c r="F85" s="650">
        <v>508</v>
      </c>
      <c r="G85" s="650" t="s">
        <v>37</v>
      </c>
      <c r="L85" s="654">
        <v>630</v>
      </c>
      <c r="M85" s="654" t="s">
        <v>36</v>
      </c>
      <c r="N85" s="208"/>
      <c r="O85" s="655" t="str">
        <f t="array" ref="O85">IFERROR(IF(QCT_metro_or_nonmetro="Metro",INDEX($F$23:$F$748,SMALL(IF((County=$G$23:$G$748),MATCH(ROW($G$23:$G$748),ROW($G$23:$G$748)),""),ROWS($A$23:A85))),INDEX($I$23:$I$52,SMALL(IF((County=$J$23:$J$52),MATCH(ROW($J$23:$J$52),ROW($J$23:$J$52)),""),ROWS($A$23:A85)))),"")</f>
        <v/>
      </c>
      <c r="Q85" s="655" t="str">
        <f t="array" ref="Q85">IFERROR(IF(Geo_Area_of_Opp_boost="Yes",INDEX($L$23:$L$2323,SMALL(IF((County=$M$23:$M$2323),MATCH(ROW($M$23:$M$2323),ROW($M$23:$M$2323)),""),ROWS($A$23:A85))),""),"")</f>
        <v/>
      </c>
      <c r="S85" s="1528" t="s">
        <v>103</v>
      </c>
      <c r="T85" s="1528" t="s">
        <v>1916</v>
      </c>
      <c r="U85" s="1528" t="s">
        <v>1917</v>
      </c>
      <c r="V85" s="1340">
        <v>28.916706000000001</v>
      </c>
      <c r="W85" s="1340">
        <v>-81.275324999999995</v>
      </c>
      <c r="X85" s="1538" t="s">
        <v>1792</v>
      </c>
      <c r="Y85" s="1341" t="s">
        <v>715</v>
      </c>
      <c r="Z85" s="1340" t="str">
        <f t="shared" si="5"/>
        <v>Volusia - Bristol Manor</v>
      </c>
      <c r="AA85" s="1340" t="str">
        <f t="shared" si="6"/>
        <v>Elderly, Non-ALF</v>
      </c>
      <c r="AB85" s="1340" t="str">
        <f t="shared" si="7"/>
        <v>(28.916706, -81.275325)</v>
      </c>
      <c r="AC85" s="1341" t="str">
        <f t="shared" si="8"/>
        <v>&gt;30</v>
      </c>
    </row>
    <row r="86" spans="1:29" ht="14.4" customHeight="1">
      <c r="A86" s="649">
        <v>32226</v>
      </c>
      <c r="B86" s="650" t="s">
        <v>50</v>
      </c>
      <c r="E86" s="1"/>
      <c r="F86" s="650">
        <v>602.03</v>
      </c>
      <c r="G86" s="650" t="s">
        <v>37</v>
      </c>
      <c r="L86" s="654">
        <v>631.02</v>
      </c>
      <c r="M86" s="654" t="s">
        <v>36</v>
      </c>
      <c r="N86" s="208"/>
      <c r="O86" s="655" t="str">
        <f t="array" ref="O86">IFERROR(IF(QCT_metro_or_nonmetro="Metro",INDEX($F$23:$F$748,SMALL(IF((County=$G$23:$G$748),MATCH(ROW($G$23:$G$748),ROW($G$23:$G$748)),""),ROWS($A$23:A86))),INDEX($I$23:$I$52,SMALL(IF((County=$J$23:$J$52),MATCH(ROW($J$23:$J$52),ROW($J$23:$J$52)),""),ROWS($A$23:A86)))),"")</f>
        <v/>
      </c>
      <c r="Q86" s="655" t="str">
        <f t="array" ref="Q86">IFERROR(IF(Geo_Area_of_Opp_boost="Yes",INDEX($L$23:$L$2323,SMALL(IF((County=$M$23:$M$2323),MATCH(ROW($M$23:$M$2323),ROW($M$23:$M$2323)),""),ROWS($A$23:A86))),""),"")</f>
        <v/>
      </c>
      <c r="S86" s="1528" t="s">
        <v>103</v>
      </c>
      <c r="T86" s="1528" t="s">
        <v>1918</v>
      </c>
      <c r="U86" s="1528" t="s">
        <v>2030</v>
      </c>
      <c r="V86" s="1340">
        <v>29.028727799999999</v>
      </c>
      <c r="W86" s="1340">
        <v>-80.937791700000005</v>
      </c>
      <c r="X86" s="1538" t="s">
        <v>1792</v>
      </c>
      <c r="Y86" s="1341" t="s">
        <v>715</v>
      </c>
      <c r="Z86" s="1340" t="str">
        <f t="shared" si="5"/>
        <v>Volusia - Greenlawn Manor, f/k/a Westside Phase I - sites 1-3</v>
      </c>
      <c r="AA86" s="1340" t="str">
        <f t="shared" si="6"/>
        <v>Elderly, Non-ALF</v>
      </c>
      <c r="AB86" s="1340" t="str">
        <f t="shared" si="7"/>
        <v>(29.0287278, -80.9377917)</v>
      </c>
      <c r="AC86" s="1341" t="str">
        <f t="shared" si="8"/>
        <v>&gt;30</v>
      </c>
    </row>
    <row r="87" spans="1:29" ht="14.4" customHeight="1">
      <c r="A87" s="649">
        <v>32227</v>
      </c>
      <c r="B87" s="650" t="s">
        <v>50</v>
      </c>
      <c r="E87" s="1"/>
      <c r="F87" s="650">
        <v>603.02</v>
      </c>
      <c r="G87" s="650" t="s">
        <v>37</v>
      </c>
      <c r="L87" s="654">
        <v>631.04</v>
      </c>
      <c r="M87" s="654" t="s">
        <v>36</v>
      </c>
      <c r="N87" s="208"/>
      <c r="O87" s="655" t="str">
        <f t="array" ref="O87">IFERROR(IF(QCT_metro_or_nonmetro="Metro",INDEX($F$23:$F$748,SMALL(IF((County=$G$23:$G$748),MATCH(ROW($G$23:$G$748),ROW($G$23:$G$748)),""),ROWS($A$23:A87))),INDEX($I$23:$I$52,SMALL(IF((County=$J$23:$J$52),MATCH(ROW($J$23:$J$52),ROW($J$23:$J$52)),""),ROWS($A$23:A87)))),"")</f>
        <v/>
      </c>
      <c r="Q87" s="655" t="str">
        <f t="array" ref="Q87">IFERROR(IF(Geo_Area_of_Opp_boost="Yes",INDEX($L$23:$L$2323,SMALL(IF((County=$M$23:$M$2323),MATCH(ROW($M$23:$M$2323),ROW($M$23:$M$2323)),""),ROWS($A$23:A87))),""),"")</f>
        <v/>
      </c>
      <c r="S87" s="1528" t="s">
        <v>104</v>
      </c>
      <c r="T87" s="1528" t="s">
        <v>1919</v>
      </c>
      <c r="U87" s="1528" t="s">
        <v>1920</v>
      </c>
      <c r="V87" s="1536">
        <v>30.173933999999999</v>
      </c>
      <c r="W87" s="1536">
        <v>-84.379789000000002</v>
      </c>
      <c r="X87" s="1531" t="s">
        <v>1795</v>
      </c>
      <c r="Y87" s="1341" t="s">
        <v>716</v>
      </c>
      <c r="Z87" s="1340" t="str">
        <f t="shared" si="5"/>
        <v>Wakulla - Greyes Place Phase II</v>
      </c>
      <c r="AA87" s="1340" t="str">
        <f t="shared" si="6"/>
        <v>Family</v>
      </c>
      <c r="AB87" s="1340" t="str">
        <f t="shared" si="7"/>
        <v>(30.173934, -84.379789)</v>
      </c>
      <c r="AC87" s="1341" t="str">
        <f t="shared" si="8"/>
        <v>&lt;31</v>
      </c>
    </row>
    <row r="88" spans="1:29" ht="14.4" customHeight="1">
      <c r="A88" s="649">
        <v>32228</v>
      </c>
      <c r="B88" s="650" t="s">
        <v>50</v>
      </c>
      <c r="E88" s="1"/>
      <c r="F88" s="650">
        <v>603.03</v>
      </c>
      <c r="G88" s="650" t="s">
        <v>37</v>
      </c>
      <c r="L88" s="654">
        <v>631.04999999999995</v>
      </c>
      <c r="M88" s="654" t="s">
        <v>36</v>
      </c>
      <c r="N88" s="208"/>
      <c r="O88" s="655" t="str">
        <f t="array" ref="O88">IFERROR(IF(QCT_metro_or_nonmetro="Metro",INDEX($F$23:$F$748,SMALL(IF((County=$G$23:$G$748),MATCH(ROW($G$23:$G$748),ROW($G$23:$G$748)),""),ROWS($A$23:A88))),INDEX($I$23:$I$52,SMALL(IF((County=$J$23:$J$52),MATCH(ROW($J$23:$J$52),ROW($J$23:$J$52)),""),ROWS($A$23:A88)))),"")</f>
        <v/>
      </c>
      <c r="Q88" s="655" t="str">
        <f t="array" ref="Q88">IFERROR(IF(Geo_Area_of_Opp_boost="Yes",INDEX($L$23:$L$2323,SMALL(IF((County=$M$23:$M$2323),MATCH(ROW($M$23:$M$2323),ROW($M$23:$M$2323)),""),ROWS($A$23:A88))),""),"")</f>
        <v/>
      </c>
      <c r="S88" s="1528" t="s">
        <v>105</v>
      </c>
      <c r="T88" s="1528" t="s">
        <v>1921</v>
      </c>
      <c r="U88" s="1528" t="s">
        <v>1922</v>
      </c>
      <c r="V88" s="1537">
        <v>30.506656</v>
      </c>
      <c r="W88" s="1530">
        <v>-86.137401999999994</v>
      </c>
      <c r="X88" s="1531" t="s">
        <v>1795</v>
      </c>
      <c r="Y88" s="1341" t="s">
        <v>715</v>
      </c>
      <c r="Z88" s="1340" t="str">
        <f t="shared" si="5"/>
        <v>Walton - Rosemary Place</v>
      </c>
      <c r="AA88" s="1340" t="str">
        <f t="shared" si="6"/>
        <v>Family</v>
      </c>
      <c r="AB88" s="1340" t="str">
        <f t="shared" si="7"/>
        <v>(30.506656, -86.137402)</v>
      </c>
      <c r="AC88" s="1341" t="str">
        <f t="shared" si="8"/>
        <v>&gt;30</v>
      </c>
    </row>
    <row r="89" spans="1:29" ht="14.4" customHeight="1">
      <c r="A89" s="649">
        <v>32256</v>
      </c>
      <c r="B89" s="650" t="s">
        <v>50</v>
      </c>
      <c r="E89" s="1"/>
      <c r="F89" s="650">
        <v>603.04</v>
      </c>
      <c r="G89" s="650" t="s">
        <v>37</v>
      </c>
      <c r="L89" s="654">
        <v>631.05999999999995</v>
      </c>
      <c r="M89" s="654" t="s">
        <v>36</v>
      </c>
      <c r="N89" s="208"/>
      <c r="O89" s="655" t="str">
        <f t="array" ref="O89">IFERROR(IF(QCT_metro_or_nonmetro="Metro",INDEX($F$23:$F$748,SMALL(IF((County=$G$23:$G$748),MATCH(ROW($G$23:$G$748),ROW($G$23:$G$748)),""),ROWS($A$23:A89))),INDEX($I$23:$I$52,SMALL(IF((County=$J$23:$J$52),MATCH(ROW($J$23:$J$52),ROW($J$23:$J$52)),""),ROWS($A$23:A89)))),"")</f>
        <v/>
      </c>
      <c r="Q89" s="655" t="str">
        <f t="array" ref="Q89">IFERROR(IF(Geo_Area_of_Opp_boost="Yes",INDEX($L$23:$L$2323,SMALL(IF((County=$M$23:$M$2323),MATCH(ROW($M$23:$M$2323),ROW($M$23:$M$2323)),""),ROWS($A$23:A89))),""),"")</f>
        <v/>
      </c>
    </row>
    <row r="90" spans="1:29" ht="14.4" customHeight="1">
      <c r="A90" s="649">
        <v>32258</v>
      </c>
      <c r="B90" s="650" t="s">
        <v>50</v>
      </c>
      <c r="E90" s="1"/>
      <c r="F90" s="650">
        <v>604.01</v>
      </c>
      <c r="G90" s="650" t="s">
        <v>37</v>
      </c>
      <c r="L90" s="654">
        <v>631.07000000000005</v>
      </c>
      <c r="M90" s="654" t="s">
        <v>36</v>
      </c>
      <c r="N90" s="208"/>
      <c r="O90" s="655" t="str">
        <f t="array" ref="O90">IFERROR(IF(QCT_metro_or_nonmetro="Metro",INDEX($F$23:$F$748,SMALL(IF((County=$G$23:$G$748),MATCH(ROW($G$23:$G$748),ROW($G$23:$G$748)),""),ROWS($A$23:A90))),INDEX($I$23:$I$52,SMALL(IF((County=$J$23:$J$52),MATCH(ROW($J$23:$J$52),ROW($J$23:$J$52)),""),ROWS($A$23:A90)))),"")</f>
        <v/>
      </c>
      <c r="Q90" s="655" t="str">
        <f t="array" ref="Q90">IFERROR(IF(Geo_Area_of_Opp_boost="Yes",INDEX($L$23:$L$2323,SMALL(IF((County=$M$23:$M$2323),MATCH(ROW($M$23:$M$2323),ROW($M$23:$M$2323)),""),ROWS($A$23:A90))),""),"")</f>
        <v/>
      </c>
    </row>
    <row r="91" spans="1:29" ht="14.4" customHeight="1">
      <c r="A91" s="649">
        <v>32266</v>
      </c>
      <c r="B91" s="650" t="s">
        <v>50</v>
      </c>
      <c r="E91" s="1"/>
      <c r="F91" s="650">
        <v>611</v>
      </c>
      <c r="G91" s="650" t="s">
        <v>37</v>
      </c>
      <c r="L91" s="654">
        <v>641.02</v>
      </c>
      <c r="M91" s="654" t="s">
        <v>36</v>
      </c>
      <c r="N91" s="208"/>
      <c r="O91" s="655" t="str">
        <f t="array" ref="O91">IFERROR(IF(QCT_metro_or_nonmetro="Metro",INDEX($F$23:$F$748,SMALL(IF((County=$G$23:$G$748),MATCH(ROW($G$23:$G$748),ROW($G$23:$G$748)),""),ROWS($A$23:A91))),INDEX($I$23:$I$52,SMALL(IF((County=$J$23:$J$52),MATCH(ROW($J$23:$J$52),ROW($J$23:$J$52)),""),ROWS($A$23:A91)))),"")</f>
        <v/>
      </c>
      <c r="Q91" s="655" t="str">
        <f t="array" ref="Q91">IFERROR(IF(Geo_Area_of_Opp_boost="Yes",INDEX($L$23:$L$2323,SMALL(IF((County=$M$23:$M$2323),MATCH(ROW($M$23:$M$2323),ROW($M$23:$M$2323)),""),ROWS($A$23:A91))),""),"")</f>
        <v/>
      </c>
    </row>
    <row r="92" spans="1:29" ht="14.4" customHeight="1">
      <c r="A92" s="649">
        <v>32508</v>
      </c>
      <c r="B92" s="650" t="s">
        <v>52</v>
      </c>
      <c r="E92" s="1"/>
      <c r="F92" s="650">
        <v>805</v>
      </c>
      <c r="G92" s="650" t="s">
        <v>37</v>
      </c>
      <c r="L92" s="654">
        <v>641.23</v>
      </c>
      <c r="M92" s="654" t="s">
        <v>36</v>
      </c>
      <c r="N92" s="208"/>
      <c r="O92" s="655" t="str">
        <f t="array" ref="O92">IFERROR(IF(QCT_metro_or_nonmetro="Metro",INDEX($F$23:$F$748,SMALL(IF((County=$G$23:$G$748),MATCH(ROW($G$23:$G$748),ROW($G$23:$G$748)),""),ROWS($A$23:A92))),INDEX($I$23:$I$52,SMALL(IF((County=$J$23:$J$52),MATCH(ROW($J$23:$J$52),ROW($J$23:$J$52)),""),ROWS($A$23:A92)))),"")</f>
        <v/>
      </c>
      <c r="Q92" s="655" t="str">
        <f t="array" ref="Q92">IFERROR(IF(Geo_Area_of_Opp_boost="Yes",INDEX($L$23:$L$2323,SMALL(IF((County=$M$23:$M$2323),MATCH(ROW($M$23:$M$2323),ROW($M$23:$M$2323)),""),ROWS($A$23:A92))),""),"")</f>
        <v/>
      </c>
    </row>
    <row r="93" spans="1:29" ht="14.4" customHeight="1">
      <c r="A93" s="649">
        <v>32456</v>
      </c>
      <c r="B93" s="650" t="s">
        <v>58</v>
      </c>
      <c r="E93" s="1"/>
      <c r="F93" s="650">
        <v>903.01</v>
      </c>
      <c r="G93" s="650" t="s">
        <v>37</v>
      </c>
      <c r="L93" s="654">
        <v>641.25</v>
      </c>
      <c r="M93" s="654" t="s">
        <v>36</v>
      </c>
      <c r="N93" s="208"/>
      <c r="O93" s="655" t="str">
        <f t="array" ref="O93">IFERROR(IF(QCT_metro_or_nonmetro="Metro",INDEX($F$23:$F$748,SMALL(IF((County=$G$23:$G$748),MATCH(ROW($G$23:$G$748),ROW($G$23:$G$748)),""),ROWS($A$23:A93))),INDEX($I$23:$I$52,SMALL(IF((County=$J$23:$J$52),MATCH(ROW($J$23:$J$52),ROW($J$23:$J$52)),""),ROWS($A$23:A93)))),"")</f>
        <v/>
      </c>
      <c r="Q93" s="655" t="str">
        <f t="array" ref="Q93">IFERROR(IF(Geo_Area_of_Opp_boost="Yes",INDEX($L$23:$L$2323,SMALL(IF((County=$M$23:$M$2323),MATCH(ROW($M$23:$M$2323),ROW($M$23:$M$2323)),""),ROWS($A$23:A93))),""),"")</f>
        <v/>
      </c>
    </row>
    <row r="94" spans="1:29" ht="14.4" customHeight="1">
      <c r="A94" s="649">
        <v>34609</v>
      </c>
      <c r="B94" s="650" t="s">
        <v>62</v>
      </c>
      <c r="E94" s="1"/>
      <c r="F94" s="650">
        <v>904.03</v>
      </c>
      <c r="G94" s="650" t="s">
        <v>37</v>
      </c>
      <c r="L94" s="654">
        <v>641.26</v>
      </c>
      <c r="M94" s="654" t="s">
        <v>36</v>
      </c>
      <c r="N94" s="208"/>
      <c r="O94" s="655" t="str">
        <f t="array" ref="O94">IFERROR(IF(QCT_metro_or_nonmetro="Metro",INDEX($F$23:$F$748,SMALL(IF((County=$G$23:$G$748),MATCH(ROW($G$23:$G$748),ROW($G$23:$G$748)),""),ROWS($A$23:A94))),INDEX($I$23:$I$52,SMALL(IF((County=$J$23:$J$52),MATCH(ROW($J$23:$J$52),ROW($J$23:$J$52)),""),ROWS($A$23:A94)))),"")</f>
        <v/>
      </c>
      <c r="Q94" s="655" t="str">
        <f t="array" ref="Q94">IFERROR(IF(Geo_Area_of_Opp_boost="Yes",INDEX($L$23:$L$2323,SMALL(IF((County=$M$23:$M$2323),MATCH(ROW($M$23:$M$2323),ROW($M$23:$M$2323)),""),ROWS($A$23:A94))),""),"")</f>
        <v/>
      </c>
    </row>
    <row r="95" spans="1:29" ht="14.4" customHeight="1">
      <c r="A95" s="649">
        <v>33872</v>
      </c>
      <c r="B95" s="650" t="s">
        <v>63</v>
      </c>
      <c r="E95" s="1"/>
      <c r="F95" s="650">
        <v>1004</v>
      </c>
      <c r="G95" s="650" t="s">
        <v>37</v>
      </c>
      <c r="L95" s="654">
        <v>641.27</v>
      </c>
      <c r="M95" s="654" t="s">
        <v>36</v>
      </c>
      <c r="N95" s="208"/>
      <c r="O95" s="655" t="str">
        <f t="array" ref="O95">IFERROR(IF(QCT_metro_or_nonmetro="Metro",INDEX($F$23:$F$748,SMALL(IF((County=$G$23:$G$748),MATCH(ROW($G$23:$G$748),ROW($G$23:$G$748)),""),ROWS($A$23:A95))),INDEX($I$23:$I$52,SMALL(IF((County=$J$23:$J$52),MATCH(ROW($J$23:$J$52),ROW($J$23:$J$52)),""),ROWS($A$23:A95)))),"")</f>
        <v/>
      </c>
      <c r="Q95" s="655" t="str">
        <f t="array" ref="Q95">IFERROR(IF(Geo_Area_of_Opp_boost="Yes",INDEX($L$23:$L$2323,SMALL(IF((County=$M$23:$M$2323),MATCH(ROW($M$23:$M$2323),ROW($M$23:$M$2323)),""),ROWS($A$23:A95))),""),"")</f>
        <v/>
      </c>
    </row>
    <row r="96" spans="1:29" ht="14.4" customHeight="1">
      <c r="A96" s="649">
        <v>33875</v>
      </c>
      <c r="B96" s="650" t="s">
        <v>63</v>
      </c>
      <c r="E96" s="1"/>
      <c r="F96" s="650">
        <v>1005.02</v>
      </c>
      <c r="G96" s="650" t="s">
        <v>37</v>
      </c>
      <c r="L96" s="654">
        <v>641.28</v>
      </c>
      <c r="M96" s="654" t="s">
        <v>36</v>
      </c>
      <c r="N96" s="208"/>
      <c r="O96" s="655" t="str">
        <f t="array" ref="O96">IFERROR(IF(QCT_metro_or_nonmetro="Metro",INDEX($F$23:$F$748,SMALL(IF((County=$G$23:$G$748),MATCH(ROW($G$23:$G$748),ROW($G$23:$G$748)),""),ROWS($A$23:A96))),INDEX($I$23:$I$52,SMALL(IF((County=$J$23:$J$52),MATCH(ROW($J$23:$J$52),ROW($J$23:$J$52)),""),ROWS($A$23:A96)))),"")</f>
        <v/>
      </c>
      <c r="Q96" s="655" t="str">
        <f t="array" ref="Q96">IFERROR(IF(Geo_Area_of_Opp_boost="Yes",INDEX($L$23:$L$2323,SMALL(IF((County=$M$23:$M$2323),MATCH(ROW($M$23:$M$2323),ROW($M$23:$M$2323)),""),ROWS($A$23:A96))),""),"")</f>
        <v/>
      </c>
    </row>
    <row r="97" spans="1:17" ht="14.4" customHeight="1">
      <c r="A97" s="649">
        <v>33876</v>
      </c>
      <c r="B97" s="650" t="s">
        <v>63</v>
      </c>
      <c r="E97" s="1"/>
      <c r="F97" s="650">
        <v>1007</v>
      </c>
      <c r="G97" s="650" t="s">
        <v>37</v>
      </c>
      <c r="L97" s="654">
        <v>644</v>
      </c>
      <c r="M97" s="654" t="s">
        <v>36</v>
      </c>
      <c r="N97" s="208"/>
      <c r="O97" s="655" t="str">
        <f t="array" ref="O97">IFERROR(IF(QCT_metro_or_nonmetro="Metro",INDEX($F$23:$F$748,SMALL(IF((County=$G$23:$G$748),MATCH(ROW($G$23:$G$748),ROW($G$23:$G$748)),""),ROWS($A$23:A97))),INDEX($I$23:$I$52,SMALL(IF((County=$J$23:$J$52),MATCH(ROW($J$23:$J$52),ROW($J$23:$J$52)),""),ROWS($A$23:A97)))),"")</f>
        <v/>
      </c>
      <c r="Q97" s="655" t="str">
        <f t="array" ref="Q97">IFERROR(IF(Geo_Area_of_Opp_boost="Yes",INDEX($L$23:$L$2323,SMALL(IF((County=$M$23:$M$2323),MATCH(ROW($M$23:$M$2323),ROW($M$23:$M$2323)),""),ROWS($A$23:A97))),""),"")</f>
        <v/>
      </c>
    </row>
    <row r="98" spans="1:17" ht="14.4" customHeight="1">
      <c r="A98" s="649">
        <v>33503</v>
      </c>
      <c r="B98" s="650" t="s">
        <v>64</v>
      </c>
      <c r="E98" s="1"/>
      <c r="F98" s="650">
        <v>1008.01</v>
      </c>
      <c r="G98" s="650" t="s">
        <v>37</v>
      </c>
      <c r="L98" s="654">
        <v>646.01</v>
      </c>
      <c r="M98" s="654" t="s">
        <v>36</v>
      </c>
      <c r="N98" s="208"/>
      <c r="O98" s="655" t="str">
        <f t="array" ref="O98">IFERROR(IF(QCT_metro_or_nonmetro="Metro",INDEX($F$23:$F$748,SMALL(IF((County=$G$23:$G$748),MATCH(ROW($G$23:$G$748),ROW($G$23:$G$748)),""),ROWS($A$23:A98))),INDEX($I$23:$I$52,SMALL(IF((County=$J$23:$J$52),MATCH(ROW($J$23:$J$52),ROW($J$23:$J$52)),""),ROWS($A$23:A98)))),"")</f>
        <v/>
      </c>
      <c r="Q98" s="655" t="str">
        <f t="array" ref="Q98">IFERROR(IF(Geo_Area_of_Opp_boost="Yes",INDEX($L$23:$L$2323,SMALL(IF((County=$M$23:$M$2323),MATCH(ROW($M$23:$M$2323),ROW($M$23:$M$2323)),""),ROWS($A$23:A98))),""),"")</f>
        <v/>
      </c>
    </row>
    <row r="99" spans="1:17" ht="14.4" customHeight="1">
      <c r="A99" s="649">
        <v>33510</v>
      </c>
      <c r="B99" s="650" t="s">
        <v>64</v>
      </c>
      <c r="E99" s="1"/>
      <c r="F99" s="650">
        <v>1103.3399999999999</v>
      </c>
      <c r="G99" s="650" t="s">
        <v>37</v>
      </c>
      <c r="L99" s="654">
        <v>648</v>
      </c>
      <c r="M99" s="654" t="s">
        <v>36</v>
      </c>
      <c r="N99" s="208"/>
      <c r="O99" s="655" t="str">
        <f t="array" ref="O99">IFERROR(IF(QCT_metro_or_nonmetro="Metro",INDEX($F$23:$F$748,SMALL(IF((County=$G$23:$G$748),MATCH(ROW($G$23:$G$748),ROW($G$23:$G$748)),""),ROWS($A$23:A99))),INDEX($I$23:$I$52,SMALL(IF((County=$J$23:$J$52),MATCH(ROW($J$23:$J$52),ROW($J$23:$J$52)),""),ROWS($A$23:A99)))),"")</f>
        <v/>
      </c>
      <c r="Q99" s="655" t="str">
        <f t="array" ref="Q99">IFERROR(IF(Geo_Area_of_Opp_boost="Yes",INDEX($L$23:$L$2323,SMALL(IF((County=$M$23:$M$2323),MATCH(ROW($M$23:$M$2323),ROW($M$23:$M$2323)),""),ROWS($A$23:A99))),""),"")</f>
        <v/>
      </c>
    </row>
    <row r="100" spans="1:17" ht="14.4" customHeight="1">
      <c r="A100" s="649">
        <v>33511</v>
      </c>
      <c r="B100" s="650" t="s">
        <v>64</v>
      </c>
      <c r="E100" s="1"/>
      <c r="F100" s="650">
        <v>1103.3499999999999</v>
      </c>
      <c r="G100" s="650" t="s">
        <v>37</v>
      </c>
      <c r="L100" s="654">
        <v>649.01</v>
      </c>
      <c r="M100" s="654" t="s">
        <v>36</v>
      </c>
      <c r="N100" s="208"/>
      <c r="O100" s="655" t="str">
        <f t="array" ref="O100">IFERROR(IF(QCT_metro_or_nonmetro="Metro",INDEX($F$23:$F$748,SMALL(IF((County=$G$23:$G$748),MATCH(ROW($G$23:$G$748),ROW($G$23:$G$748)),""),ROWS($A$23:A100))),INDEX($I$23:$I$52,SMALL(IF((County=$J$23:$J$52),MATCH(ROW($J$23:$J$52),ROW($J$23:$J$52)),""),ROWS($A$23:A100)))),"")</f>
        <v/>
      </c>
      <c r="Q100" s="655" t="str">
        <f t="array" ref="Q100">IFERROR(IF(Geo_Area_of_Opp_boost="Yes",INDEX($L$23:$L$2323,SMALL(IF((County=$M$23:$M$2323),MATCH(ROW($M$23:$M$2323),ROW($M$23:$M$2323)),""),ROWS($A$23:A100))),""),"")</f>
        <v/>
      </c>
    </row>
    <row r="101" spans="1:17" ht="14.4" customHeight="1">
      <c r="A101" s="649">
        <v>33547</v>
      </c>
      <c r="B101" s="650" t="s">
        <v>64</v>
      </c>
      <c r="E101" s="1"/>
      <c r="F101" s="650">
        <v>103.02</v>
      </c>
      <c r="G101" s="653" t="s">
        <v>42</v>
      </c>
      <c r="L101" s="654">
        <v>650.01</v>
      </c>
      <c r="M101" s="654" t="s">
        <v>36</v>
      </c>
      <c r="N101" s="208"/>
      <c r="O101" s="655" t="str">
        <f t="array" ref="O101">IFERROR(IF(QCT_metro_or_nonmetro="Metro",INDEX($F$23:$F$748,SMALL(IF((County=$G$23:$G$748),MATCH(ROW($G$23:$G$748),ROW($G$23:$G$748)),""),ROWS($A$23:A101))),INDEX($I$23:$I$52,SMALL(IF((County=$J$23:$J$52),MATCH(ROW($J$23:$J$52),ROW($J$23:$J$52)),""),ROWS($A$23:A101)))),"")</f>
        <v/>
      </c>
      <c r="Q101" s="655" t="str">
        <f t="array" ref="Q101">IFERROR(IF(Geo_Area_of_Opp_boost="Yes",INDEX($L$23:$L$2323,SMALL(IF((County=$M$23:$M$2323),MATCH(ROW($M$23:$M$2323),ROW($M$23:$M$2323)),""),ROWS($A$23:A101))),""),"")</f>
        <v/>
      </c>
    </row>
    <row r="102" spans="1:17" ht="14.4" customHeight="1">
      <c r="A102" s="649">
        <v>33548</v>
      </c>
      <c r="B102" s="650" t="s">
        <v>64</v>
      </c>
      <c r="E102" s="1"/>
      <c r="F102" s="650">
        <v>207</v>
      </c>
      <c r="G102" s="653" t="s">
        <v>42</v>
      </c>
      <c r="L102" s="654">
        <v>650.21</v>
      </c>
      <c r="M102" s="654" t="s">
        <v>36</v>
      </c>
      <c r="N102" s="208"/>
      <c r="O102" s="655" t="str">
        <f t="array" ref="O102">IFERROR(IF(QCT_metro_or_nonmetro="Metro",INDEX($F$23:$F$748,SMALL(IF((County=$G$23:$G$748),MATCH(ROW($G$23:$G$748),ROW($G$23:$G$748)),""),ROWS($A$23:A102))),INDEX($I$23:$I$52,SMALL(IF((County=$J$23:$J$52),MATCH(ROW($J$23:$J$52),ROW($J$23:$J$52)),""),ROWS($A$23:A102)))),"")</f>
        <v/>
      </c>
      <c r="Q102" s="655" t="str">
        <f t="array" ref="Q102">IFERROR(IF(Geo_Area_of_Opp_boost="Yes",INDEX($L$23:$L$2323,SMALL(IF((County=$M$23:$M$2323),MATCH(ROW($M$23:$M$2323),ROW($M$23:$M$2323)),""),ROWS($A$23:A102))),""),"")</f>
        <v/>
      </c>
    </row>
    <row r="103" spans="1:17" ht="14.4" customHeight="1">
      <c r="A103" s="649">
        <v>33549</v>
      </c>
      <c r="B103" s="650" t="s">
        <v>64</v>
      </c>
      <c r="E103" s="1"/>
      <c r="F103" s="650">
        <v>4502.0200000000004</v>
      </c>
      <c r="G103" s="650" t="s">
        <v>43</v>
      </c>
      <c r="L103" s="654">
        <v>652.30999999999995</v>
      </c>
      <c r="M103" s="654" t="s">
        <v>36</v>
      </c>
      <c r="N103" s="208"/>
      <c r="O103" s="655" t="str">
        <f t="array" ref="O103">IFERROR(IF(QCT_metro_or_nonmetro="Metro",INDEX($F$23:$F$748,SMALL(IF((County=$G$23:$G$748),MATCH(ROW($G$23:$G$748),ROW($G$23:$G$748)),""),ROWS($A$23:A103))),INDEX($I$23:$I$52,SMALL(IF((County=$J$23:$J$52),MATCH(ROW($J$23:$J$52),ROW($J$23:$J$52)),""),ROWS($A$23:A103)))),"")</f>
        <v/>
      </c>
      <c r="Q103" s="655" t="str">
        <f t="array" ref="Q103">IFERROR(IF(Geo_Area_of_Opp_boost="Yes",INDEX($L$23:$L$2323,SMALL(IF((County=$M$23:$M$2323),MATCH(ROW($M$23:$M$2323),ROW($M$23:$M$2323)),""),ROWS($A$23:A103))),""),"")</f>
        <v/>
      </c>
    </row>
    <row r="104" spans="1:17" ht="14.4" customHeight="1">
      <c r="A104" s="649">
        <v>33556</v>
      </c>
      <c r="B104" s="650" t="s">
        <v>64</v>
      </c>
      <c r="E104" s="1"/>
      <c r="F104" s="650">
        <v>4503.03</v>
      </c>
      <c r="G104" s="650" t="s">
        <v>43</v>
      </c>
      <c r="L104" s="654">
        <v>661.01</v>
      </c>
      <c r="M104" s="654" t="s">
        <v>36</v>
      </c>
      <c r="N104" s="208"/>
      <c r="O104" s="655" t="str">
        <f t="array" ref="O104">IFERROR(IF(QCT_metro_or_nonmetro="Metro",INDEX($F$23:$F$748,SMALL(IF((County=$G$23:$G$748),MATCH(ROW($G$23:$G$748),ROW($G$23:$G$748)),""),ROWS($A$23:A104))),INDEX($I$23:$I$52,SMALL(IF((County=$J$23:$J$52),MATCH(ROW($J$23:$J$52),ROW($J$23:$J$52)),""),ROWS($A$23:A104)))),"")</f>
        <v/>
      </c>
      <c r="Q104" s="655" t="str">
        <f t="array" ref="Q104">IFERROR(IF(Geo_Area_of_Opp_boost="Yes",INDEX($L$23:$L$2323,SMALL(IF((County=$M$23:$M$2323),MATCH(ROW($M$23:$M$2323),ROW($M$23:$M$2323)),""),ROWS($A$23:A104))),""),"")</f>
        <v/>
      </c>
    </row>
    <row r="105" spans="1:17" ht="14.4" customHeight="1">
      <c r="A105" s="649">
        <v>33559</v>
      </c>
      <c r="B105" s="650" t="s">
        <v>64</v>
      </c>
      <c r="E105" s="1"/>
      <c r="F105" s="650">
        <v>4508</v>
      </c>
      <c r="G105" s="650" t="s">
        <v>43</v>
      </c>
      <c r="L105" s="654">
        <v>661.03</v>
      </c>
      <c r="M105" s="654" t="s">
        <v>36</v>
      </c>
      <c r="N105" s="208"/>
      <c r="O105" s="655" t="str">
        <f t="array" ref="O105">IFERROR(IF(QCT_metro_or_nonmetro="Metro",INDEX($F$23:$F$748,SMALL(IF((County=$G$23:$G$748),MATCH(ROW($G$23:$G$748),ROW($G$23:$G$748)),""),ROWS($A$23:A105))),INDEX($I$23:$I$52,SMALL(IF((County=$J$23:$J$52),MATCH(ROW($J$23:$J$52),ROW($J$23:$J$52)),""),ROWS($A$23:A105)))),"")</f>
        <v/>
      </c>
      <c r="Q105" s="655" t="str">
        <f t="array" ref="Q105">IFERROR(IF(Geo_Area_of_Opp_boost="Yes",INDEX($L$23:$L$2323,SMALL(IF((County=$M$23:$M$2323),MATCH(ROW($M$23:$M$2323),ROW($M$23:$M$2323)),""),ROWS($A$23:A105))),""),"")</f>
        <v/>
      </c>
    </row>
    <row r="106" spans="1:17" ht="14.4" customHeight="1">
      <c r="A106" s="649">
        <v>33569</v>
      </c>
      <c r="B106" s="650" t="s">
        <v>64</v>
      </c>
      <c r="E106" s="1"/>
      <c r="F106" s="650">
        <v>4514</v>
      </c>
      <c r="G106" s="650" t="s">
        <v>43</v>
      </c>
      <c r="L106" s="654">
        <v>661.04</v>
      </c>
      <c r="M106" s="654" t="s">
        <v>36</v>
      </c>
      <c r="N106" s="208"/>
      <c r="O106" s="655" t="str">
        <f t="array" ref="O106">IFERROR(IF(QCT_metro_or_nonmetro="Metro",INDEX($F$23:$F$748,SMALL(IF((County=$G$23:$G$748),MATCH(ROW($G$23:$G$748),ROW($G$23:$G$748)),""),ROWS($A$23:A106))),INDEX($I$23:$I$52,SMALL(IF((County=$J$23:$J$52),MATCH(ROW($J$23:$J$52),ROW($J$23:$J$52)),""),ROWS($A$23:A106)))),"")</f>
        <v/>
      </c>
      <c r="Q106" s="655" t="str">
        <f t="array" ref="Q106">IFERROR(IF(Geo_Area_of_Opp_boost="Yes",INDEX($L$23:$L$2323,SMALL(IF((County=$M$23:$M$2323),MATCH(ROW($M$23:$M$2323),ROW($M$23:$M$2323)),""),ROWS($A$23:A106))),""),"")</f>
        <v/>
      </c>
    </row>
    <row r="107" spans="1:17" ht="14.4" customHeight="1">
      <c r="A107" s="649">
        <v>33572</v>
      </c>
      <c r="B107" s="650" t="s">
        <v>64</v>
      </c>
      <c r="E107" s="1"/>
      <c r="F107" s="650">
        <v>304</v>
      </c>
      <c r="G107" s="650" t="s">
        <v>44</v>
      </c>
      <c r="L107" s="654">
        <v>662</v>
      </c>
      <c r="M107" s="654" t="s">
        <v>36</v>
      </c>
      <c r="N107" s="208"/>
      <c r="O107" s="655" t="str">
        <f t="array" ref="O107">IFERROR(IF(QCT_metro_or_nonmetro="Metro",INDEX($F$23:$F$748,SMALL(IF((County=$G$23:$G$748),MATCH(ROW($G$23:$G$748),ROW($G$23:$G$748)),""),ROWS($A$23:A107))),INDEX($I$23:$I$52,SMALL(IF((County=$J$23:$J$52),MATCH(ROW($J$23:$J$52),ROW($J$23:$J$52)),""),ROWS($A$23:A107)))),"")</f>
        <v/>
      </c>
      <c r="Q107" s="655" t="str">
        <f t="array" ref="Q107">IFERROR(IF(Geo_Area_of_Opp_boost="Yes",INDEX($L$23:$L$2323,SMALL(IF((County=$M$23:$M$2323),MATCH(ROW($M$23:$M$2323),ROW($M$23:$M$2323)),""),ROWS($A$23:A107))),""),"")</f>
        <v/>
      </c>
    </row>
    <row r="108" spans="1:17" ht="14.4" customHeight="1">
      <c r="A108" s="649">
        <v>33573</v>
      </c>
      <c r="B108" s="650" t="s">
        <v>64</v>
      </c>
      <c r="E108" s="1"/>
      <c r="F108" s="650">
        <v>7</v>
      </c>
      <c r="G108" s="653" t="s">
        <v>45</v>
      </c>
      <c r="L108" s="654">
        <v>663.01</v>
      </c>
      <c r="M108" s="654" t="s">
        <v>36</v>
      </c>
      <c r="N108" s="208"/>
      <c r="O108" s="655" t="str">
        <f t="array" ref="O108">IFERROR(IF(QCT_metro_or_nonmetro="Metro",INDEX($F$23:$F$748,SMALL(IF((County=$G$23:$G$748),MATCH(ROW($G$23:$G$748),ROW($G$23:$G$748)),""),ROWS($A$23:A108))),INDEX($I$23:$I$52,SMALL(IF((County=$J$23:$J$52),MATCH(ROW($J$23:$J$52),ROW($J$23:$J$52)),""),ROWS($A$23:A108)))),"")</f>
        <v/>
      </c>
      <c r="Q108" s="655" t="str">
        <f t="array" ref="Q108">IFERROR(IF(Geo_Area_of_Opp_boost="Yes",INDEX($L$23:$L$2323,SMALL(IF((County=$M$23:$M$2323),MATCH(ROW($M$23:$M$2323),ROW($M$23:$M$2323)),""),ROWS($A$23:A108))),""),"")</f>
        <v/>
      </c>
    </row>
    <row r="109" spans="1:17" ht="14.4" customHeight="1">
      <c r="A109" s="649">
        <v>33578</v>
      </c>
      <c r="B109" s="650" t="s">
        <v>64</v>
      </c>
      <c r="E109" s="1"/>
      <c r="F109" s="650">
        <v>104.1</v>
      </c>
      <c r="G109" s="653" t="s">
        <v>45</v>
      </c>
      <c r="L109" s="654">
        <v>663.02</v>
      </c>
      <c r="M109" s="654" t="s">
        <v>36</v>
      </c>
      <c r="N109" s="208"/>
      <c r="O109" s="655" t="str">
        <f t="array" ref="O109">IFERROR(IF(QCT_metro_or_nonmetro="Metro",INDEX($F$23:$F$748,SMALL(IF((County=$G$23:$G$748),MATCH(ROW($G$23:$G$748),ROW($G$23:$G$748)),""),ROWS($A$23:A109))),INDEX($I$23:$I$52,SMALL(IF((County=$J$23:$J$52),MATCH(ROW($J$23:$J$52),ROW($J$23:$J$52)),""),ROWS($A$23:A109)))),"")</f>
        <v/>
      </c>
      <c r="Q109" s="655" t="str">
        <f t="array" ref="Q109">IFERROR(IF(Geo_Area_of_Opp_boost="Yes",INDEX($L$23:$L$2323,SMALL(IF((County=$M$23:$M$2323),MATCH(ROW($M$23:$M$2323),ROW($M$23:$M$2323)),""),ROWS($A$23:A109))),""),"")</f>
        <v/>
      </c>
    </row>
    <row r="110" spans="1:17" ht="14.4" customHeight="1">
      <c r="A110" s="649">
        <v>33579</v>
      </c>
      <c r="B110" s="650" t="s">
        <v>64</v>
      </c>
      <c r="E110" s="1"/>
      <c r="F110" s="650">
        <v>104.2</v>
      </c>
      <c r="G110" s="653" t="s">
        <v>45</v>
      </c>
      <c r="L110" s="654">
        <v>664</v>
      </c>
      <c r="M110" s="654" t="s">
        <v>36</v>
      </c>
      <c r="N110" s="208"/>
      <c r="O110" s="655" t="str">
        <f t="array" ref="O110">IFERROR(IF(QCT_metro_or_nonmetro="Metro",INDEX($F$23:$F$748,SMALL(IF((County=$G$23:$G$748),MATCH(ROW($G$23:$G$748),ROW($G$23:$G$748)),""),ROWS($A$23:A110))),INDEX($I$23:$I$52,SMALL(IF((County=$J$23:$J$52),MATCH(ROW($J$23:$J$52),ROW($J$23:$J$52)),""),ROWS($A$23:A110)))),"")</f>
        <v/>
      </c>
      <c r="Q110" s="655" t="str">
        <f t="array" ref="Q110">IFERROR(IF(Geo_Area_of_Opp_boost="Yes",INDEX($L$23:$L$2323,SMALL(IF((County=$M$23:$M$2323),MATCH(ROW($M$23:$M$2323),ROW($M$23:$M$2323)),""),ROWS($A$23:A110))),""),"")</f>
        <v/>
      </c>
    </row>
    <row r="111" spans="1:17" ht="14.4" customHeight="1">
      <c r="A111" s="649">
        <v>33584</v>
      </c>
      <c r="B111" s="650" t="s">
        <v>64</v>
      </c>
      <c r="E111" s="1"/>
      <c r="F111" s="650">
        <v>106.01</v>
      </c>
      <c r="G111" s="653" t="s">
        <v>45</v>
      </c>
      <c r="L111" s="654">
        <v>665</v>
      </c>
      <c r="M111" s="654" t="s">
        <v>36</v>
      </c>
      <c r="N111" s="208"/>
      <c r="O111" s="655" t="str">
        <f t="array" ref="O111">IFERROR(IF(QCT_metro_or_nonmetro="Metro",INDEX($F$23:$F$748,SMALL(IF((County=$G$23:$G$748),MATCH(ROW($G$23:$G$748),ROW($G$23:$G$748)),""),ROWS($A$23:A111))),INDEX($I$23:$I$52,SMALL(IF((County=$J$23:$J$52),MATCH(ROW($J$23:$J$52),ROW($J$23:$J$52)),""),ROWS($A$23:A111)))),"")</f>
        <v/>
      </c>
      <c r="Q111" s="655" t="str">
        <f t="array" ref="Q111">IFERROR(IF(Geo_Area_of_Opp_boost="Yes",INDEX($L$23:$L$2323,SMALL(IF((County=$M$23:$M$2323),MATCH(ROW($M$23:$M$2323),ROW($M$23:$M$2323)),""),ROWS($A$23:A111))),""),"")</f>
        <v/>
      </c>
    </row>
    <row r="112" spans="1:17" ht="14.4" customHeight="1">
      <c r="A112" s="649">
        <v>33594</v>
      </c>
      <c r="B112" s="650" t="s">
        <v>64</v>
      </c>
      <c r="E112" s="1"/>
      <c r="F112" s="650">
        <v>107.01</v>
      </c>
      <c r="G112" s="653" t="s">
        <v>45</v>
      </c>
      <c r="L112" s="654">
        <v>666</v>
      </c>
      <c r="M112" s="654" t="s">
        <v>36</v>
      </c>
      <c r="N112" s="208"/>
      <c r="O112" s="655" t="str">
        <f t="array" ref="O112">IFERROR(IF(QCT_metro_or_nonmetro="Metro",INDEX($F$23:$F$748,SMALL(IF((County=$G$23:$G$748),MATCH(ROW($G$23:$G$748),ROW($G$23:$G$748)),""),ROWS($A$23:A112))),INDEX($I$23:$I$52,SMALL(IF((County=$J$23:$J$52),MATCH(ROW($J$23:$J$52),ROW($J$23:$J$52)),""),ROWS($A$23:A112)))),"")</f>
        <v/>
      </c>
      <c r="Q112" s="655" t="str">
        <f t="array" ref="Q112">IFERROR(IF(Geo_Area_of_Opp_boost="Yes",INDEX($L$23:$L$2323,SMALL(IF((County=$M$23:$M$2323),MATCH(ROW($M$23:$M$2323),ROW($M$23:$M$2323)),""),ROWS($A$23:A112))),""),"")</f>
        <v/>
      </c>
    </row>
    <row r="113" spans="1:17" ht="14.4" customHeight="1">
      <c r="A113" s="649">
        <v>33596</v>
      </c>
      <c r="B113" s="650" t="s">
        <v>64</v>
      </c>
      <c r="E113" s="1"/>
      <c r="F113" s="650">
        <v>111.03</v>
      </c>
      <c r="G113" s="653" t="s">
        <v>45</v>
      </c>
      <c r="L113" s="654">
        <v>667</v>
      </c>
      <c r="M113" s="654" t="s">
        <v>36</v>
      </c>
      <c r="N113" s="208"/>
      <c r="O113" s="655" t="str">
        <f t="array" ref="O113">IFERROR(IF(QCT_metro_or_nonmetro="Metro",INDEX($F$23:$F$748,SMALL(IF((County=$G$23:$G$748),MATCH(ROW($G$23:$G$748),ROW($G$23:$G$748)),""),ROWS($A$23:A113))),INDEX($I$23:$I$52,SMALL(IF((County=$J$23:$J$52),MATCH(ROW($J$23:$J$52),ROW($J$23:$J$52)),""),ROWS($A$23:A113)))),"")</f>
        <v/>
      </c>
      <c r="Q113" s="655" t="str">
        <f t="array" ref="Q113">IFERROR(IF(Geo_Area_of_Opp_boost="Yes",INDEX($L$23:$L$2323,SMALL(IF((County=$M$23:$M$2323),MATCH(ROW($M$23:$M$2323),ROW($M$23:$M$2323)),""),ROWS($A$23:A113))),""),"")</f>
        <v/>
      </c>
    </row>
    <row r="114" spans="1:17" ht="14.4" customHeight="1">
      <c r="A114" s="649">
        <v>33602</v>
      </c>
      <c r="B114" s="650" t="s">
        <v>64</v>
      </c>
      <c r="E114" s="1"/>
      <c r="F114" s="650">
        <v>112.04</v>
      </c>
      <c r="G114" s="653" t="s">
        <v>45</v>
      </c>
      <c r="L114" s="654">
        <v>668</v>
      </c>
      <c r="M114" s="654" t="s">
        <v>36</v>
      </c>
      <c r="N114" s="208"/>
      <c r="O114" s="655" t="str">
        <f t="array" ref="O114">IFERROR(IF(QCT_metro_or_nonmetro="Metro",INDEX($F$23:$F$748,SMALL(IF((County=$G$23:$G$748),MATCH(ROW($G$23:$G$748),ROW($G$23:$G$748)),""),ROWS($A$23:A114))),INDEX($I$23:$I$52,SMALL(IF((County=$J$23:$J$52),MATCH(ROW($J$23:$J$52),ROW($J$23:$J$52)),""),ROWS($A$23:A114)))),"")</f>
        <v/>
      </c>
      <c r="Q114" s="655" t="str">
        <f t="array" ref="Q114">IFERROR(IF(Geo_Area_of_Opp_boost="Yes",INDEX($L$23:$L$2323,SMALL(IF((County=$M$23:$M$2323),MATCH(ROW($M$23:$M$2323),ROW($M$23:$M$2323)),""),ROWS($A$23:A114))),""),"")</f>
        <v/>
      </c>
    </row>
    <row r="115" spans="1:17" ht="14.4" customHeight="1">
      <c r="A115" s="649">
        <v>33606</v>
      </c>
      <c r="B115" s="650" t="s">
        <v>64</v>
      </c>
      <c r="E115" s="1"/>
      <c r="F115" s="650">
        <v>112.05</v>
      </c>
      <c r="G115" s="653" t="s">
        <v>45</v>
      </c>
      <c r="L115" s="654">
        <v>669</v>
      </c>
      <c r="M115" s="654" t="s">
        <v>36</v>
      </c>
      <c r="N115" s="208"/>
      <c r="O115" s="655" t="str">
        <f t="array" ref="O115">IFERROR(IF(QCT_metro_or_nonmetro="Metro",INDEX($F$23:$F$748,SMALL(IF((County=$G$23:$G$748),MATCH(ROW($G$23:$G$748),ROW($G$23:$G$748)),""),ROWS($A$23:A115))),INDEX($I$23:$I$52,SMALL(IF((County=$J$23:$J$52),MATCH(ROW($J$23:$J$52),ROW($J$23:$J$52)),""),ROWS($A$23:A115)))),"")</f>
        <v/>
      </c>
      <c r="Q115" s="655" t="str">
        <f t="array" ref="Q115">IFERROR(IF(Geo_Area_of_Opp_boost="Yes",INDEX($L$23:$L$2323,SMALL(IF((County=$M$23:$M$2323),MATCH(ROW($M$23:$M$2323),ROW($M$23:$M$2323)),""),ROWS($A$23:A115))),""),"")</f>
        <v/>
      </c>
    </row>
    <row r="116" spans="1:17" ht="14.4" customHeight="1">
      <c r="A116" s="649">
        <v>33607</v>
      </c>
      <c r="B116" s="650" t="s">
        <v>64</v>
      </c>
      <c r="E116" s="1"/>
      <c r="F116" s="650">
        <v>113.01</v>
      </c>
      <c r="G116" s="653" t="s">
        <v>45</v>
      </c>
      <c r="L116" s="654">
        <v>671</v>
      </c>
      <c r="M116" s="654" t="s">
        <v>36</v>
      </c>
      <c r="N116" s="208"/>
      <c r="O116" s="655" t="str">
        <f t="array" ref="O116">IFERROR(IF(QCT_metro_or_nonmetro="Metro",INDEX($F$23:$F$748,SMALL(IF((County=$G$23:$G$748),MATCH(ROW($G$23:$G$748),ROW($G$23:$G$748)),""),ROWS($A$23:A116))),INDEX($I$23:$I$52,SMALL(IF((County=$J$23:$J$52),MATCH(ROW($J$23:$J$52),ROW($J$23:$J$52)),""),ROWS($A$23:A116)))),"")</f>
        <v/>
      </c>
      <c r="Q116" s="655" t="str">
        <f t="array" ref="Q116">IFERROR(IF(Geo_Area_of_Opp_boost="Yes",INDEX($L$23:$L$2323,SMALL(IF((County=$M$23:$M$2323),MATCH(ROW($M$23:$M$2323),ROW($M$23:$M$2323)),""),ROWS($A$23:A116))),""),"")</f>
        <v/>
      </c>
    </row>
    <row r="117" spans="1:17" ht="14.4" customHeight="1">
      <c r="A117" s="649">
        <v>33609</v>
      </c>
      <c r="B117" s="650" t="s">
        <v>64</v>
      </c>
      <c r="E117" s="1"/>
      <c r="F117" s="650">
        <v>113.02</v>
      </c>
      <c r="G117" s="653" t="s">
        <v>45</v>
      </c>
      <c r="L117" s="654">
        <v>681.02</v>
      </c>
      <c r="M117" s="654" t="s">
        <v>36</v>
      </c>
      <c r="N117" s="208"/>
      <c r="O117" s="655" t="str">
        <f t="array" ref="O117">IFERROR(IF(QCT_metro_or_nonmetro="Metro",INDEX($F$23:$F$748,SMALL(IF((County=$G$23:$G$748),MATCH(ROW($G$23:$G$748),ROW($G$23:$G$748)),""),ROWS($A$23:A117))),INDEX($I$23:$I$52,SMALL(IF((County=$J$23:$J$52),MATCH(ROW($J$23:$J$52),ROW($J$23:$J$52)),""),ROWS($A$23:A117)))),"")</f>
        <v/>
      </c>
      <c r="Q117" s="655" t="str">
        <f t="array" ref="Q117">IFERROR(IF(Geo_Area_of_Opp_boost="Yes",INDEX($L$23:$L$2323,SMALL(IF((County=$M$23:$M$2323),MATCH(ROW($M$23:$M$2323),ROW($M$23:$M$2323)),""),ROWS($A$23:A117))),""),"")</f>
        <v/>
      </c>
    </row>
    <row r="118" spans="1:17" ht="14.4" customHeight="1">
      <c r="A118" s="649">
        <v>33611</v>
      </c>
      <c r="B118" s="650" t="s">
        <v>64</v>
      </c>
      <c r="E118" s="1"/>
      <c r="F118" s="650">
        <v>114</v>
      </c>
      <c r="G118" s="653" t="s">
        <v>45</v>
      </c>
      <c r="L118" s="654">
        <v>682</v>
      </c>
      <c r="M118" s="654" t="s">
        <v>36</v>
      </c>
      <c r="N118" s="208"/>
      <c r="O118" s="655" t="str">
        <f t="array" ref="O118">IFERROR(IF(QCT_metro_or_nonmetro="Metro",INDEX($F$23:$F$748,SMALL(IF((County=$G$23:$G$748),MATCH(ROW($G$23:$G$748),ROW($G$23:$G$748)),""),ROWS($A$23:A118))),INDEX($I$23:$I$52,SMALL(IF((County=$J$23:$J$52),MATCH(ROW($J$23:$J$52),ROW($J$23:$J$52)),""),ROWS($A$23:A118)))),"")</f>
        <v/>
      </c>
      <c r="Q118" s="655" t="str">
        <f t="array" ref="Q118">IFERROR(IF(Geo_Area_of_Opp_boost="Yes",INDEX($L$23:$L$2323,SMALL(IF((County=$M$23:$M$2323),MATCH(ROW($M$23:$M$2323),ROW($M$23:$M$2323)),""),ROWS($A$23:A118))),""),"")</f>
        <v/>
      </c>
    </row>
    <row r="119" spans="1:17" ht="14.4" customHeight="1">
      <c r="A119" s="649">
        <v>33615</v>
      </c>
      <c r="B119" s="650" t="s">
        <v>64</v>
      </c>
      <c r="E119" s="1"/>
      <c r="F119" s="650">
        <v>1</v>
      </c>
      <c r="G119" s="650" t="s">
        <v>50</v>
      </c>
      <c r="L119" s="654">
        <v>683</v>
      </c>
      <c r="M119" s="654" t="s">
        <v>36</v>
      </c>
      <c r="N119" s="208"/>
      <c r="O119" s="655" t="str">
        <f t="array" ref="O119">IFERROR(IF(QCT_metro_or_nonmetro="Metro",INDEX($F$23:$F$748,SMALL(IF((County=$G$23:$G$748),MATCH(ROW($G$23:$G$748),ROW($G$23:$G$748)),""),ROWS($A$23:A119))),INDEX($I$23:$I$52,SMALL(IF((County=$J$23:$J$52),MATCH(ROW($J$23:$J$52),ROW($J$23:$J$52)),""),ROWS($A$23:A119)))),"")</f>
        <v/>
      </c>
      <c r="Q119" s="655" t="str">
        <f t="array" ref="Q119">IFERROR(IF(Geo_Area_of_Opp_boost="Yes",INDEX($L$23:$L$2323,SMALL(IF((County=$M$23:$M$2323),MATCH(ROW($M$23:$M$2323),ROW($M$23:$M$2323)),""),ROWS($A$23:A119))),""),"")</f>
        <v/>
      </c>
    </row>
    <row r="120" spans="1:17" ht="14.4" customHeight="1">
      <c r="A120" s="649">
        <v>33616</v>
      </c>
      <c r="B120" s="650" t="s">
        <v>64</v>
      </c>
      <c r="E120" s="1"/>
      <c r="F120" s="650">
        <v>2</v>
      </c>
      <c r="G120" s="650" t="s">
        <v>50</v>
      </c>
      <c r="L120" s="654">
        <v>684</v>
      </c>
      <c r="M120" s="654" t="s">
        <v>36</v>
      </c>
      <c r="N120" s="208"/>
      <c r="O120" s="655" t="str">
        <f t="array" ref="O120">IFERROR(IF(QCT_metro_or_nonmetro="Metro",INDEX($F$23:$F$748,SMALL(IF((County=$G$23:$G$748),MATCH(ROW($G$23:$G$748),ROW($G$23:$G$748)),""),ROWS($A$23:A120))),INDEX($I$23:$I$52,SMALL(IF((County=$J$23:$J$52),MATCH(ROW($J$23:$J$52),ROW($J$23:$J$52)),""),ROWS($A$23:A120)))),"")</f>
        <v/>
      </c>
      <c r="Q120" s="655" t="str">
        <f t="array" ref="Q120">IFERROR(IF(Geo_Area_of_Opp_boost="Yes",INDEX($L$23:$L$2323,SMALL(IF((County=$M$23:$M$2323),MATCH(ROW($M$23:$M$2323),ROW($M$23:$M$2323)),""),ROWS($A$23:A120))),""),"")</f>
        <v/>
      </c>
    </row>
    <row r="121" spans="1:17" ht="14.4" customHeight="1">
      <c r="A121" s="649">
        <v>33618</v>
      </c>
      <c r="B121" s="650" t="s">
        <v>64</v>
      </c>
      <c r="E121" s="1"/>
      <c r="F121" s="650">
        <v>3</v>
      </c>
      <c r="G121" s="650" t="s">
        <v>50</v>
      </c>
      <c r="L121" s="654">
        <v>685.01</v>
      </c>
      <c r="M121" s="654" t="s">
        <v>36</v>
      </c>
      <c r="N121" s="208"/>
      <c r="O121" s="655" t="str">
        <f t="array" ref="O121">IFERROR(IF(QCT_metro_or_nonmetro="Metro",INDEX($F$23:$F$748,SMALL(IF((County=$G$23:$G$748),MATCH(ROW($G$23:$G$748),ROW($G$23:$G$748)),""),ROWS($A$23:A121))),INDEX($I$23:$I$52,SMALL(IF((County=$J$23:$J$52),MATCH(ROW($J$23:$J$52),ROW($J$23:$J$52)),""),ROWS($A$23:A121)))),"")</f>
        <v/>
      </c>
      <c r="Q121" s="655" t="str">
        <f t="array" ref="Q121">IFERROR(IF(Geo_Area_of_Opp_boost="Yes",INDEX($L$23:$L$2323,SMALL(IF((County=$M$23:$M$2323),MATCH(ROW($M$23:$M$2323),ROW($M$23:$M$2323)),""),ROWS($A$23:A121))),""),"")</f>
        <v/>
      </c>
    </row>
    <row r="122" spans="1:17" ht="14.4" customHeight="1">
      <c r="A122" s="649">
        <v>33621</v>
      </c>
      <c r="B122" s="650" t="s">
        <v>64</v>
      </c>
      <c r="E122" s="1"/>
      <c r="F122" s="650">
        <v>6</v>
      </c>
      <c r="G122" s="650" t="s">
        <v>50</v>
      </c>
      <c r="L122" s="654">
        <v>685.02</v>
      </c>
      <c r="M122" s="654" t="s">
        <v>36</v>
      </c>
      <c r="N122" s="208"/>
      <c r="O122" s="655" t="str">
        <f t="array" ref="O122">IFERROR(IF(QCT_metro_or_nonmetro="Metro",INDEX($F$23:$F$748,SMALL(IF((County=$G$23:$G$748),MATCH(ROW($G$23:$G$748),ROW($G$23:$G$748)),""),ROWS($A$23:A122))),INDEX($I$23:$I$52,SMALL(IF((County=$J$23:$J$52),MATCH(ROW($J$23:$J$52),ROW($J$23:$J$52)),""),ROWS($A$23:A122)))),"")</f>
        <v/>
      </c>
      <c r="Q122" s="655" t="str">
        <f t="array" ref="Q122">IFERROR(IF(Geo_Area_of_Opp_boost="Yes",INDEX($L$23:$L$2323,SMALL(IF((County=$M$23:$M$2323),MATCH(ROW($M$23:$M$2323),ROW($M$23:$M$2323)),""),ROWS($A$23:A122))),""),"")</f>
        <v/>
      </c>
    </row>
    <row r="123" spans="1:17" ht="14.4" customHeight="1">
      <c r="A123" s="649">
        <v>33624</v>
      </c>
      <c r="B123" s="650" t="s">
        <v>64</v>
      </c>
      <c r="E123" s="1"/>
      <c r="F123" s="650">
        <v>10</v>
      </c>
      <c r="G123" s="650" t="s">
        <v>50</v>
      </c>
      <c r="L123" s="654">
        <v>686.01</v>
      </c>
      <c r="M123" s="654" t="s">
        <v>36</v>
      </c>
      <c r="N123" s="208"/>
      <c r="O123" s="655" t="str">
        <f t="array" ref="O123">IFERROR(IF(QCT_metro_or_nonmetro="Metro",INDEX($F$23:$F$748,SMALL(IF((County=$G$23:$G$748),MATCH(ROW($G$23:$G$748),ROW($G$23:$G$748)),""),ROWS($A$23:A123))),INDEX($I$23:$I$52,SMALL(IF((County=$J$23:$J$52),MATCH(ROW($J$23:$J$52),ROW($J$23:$J$52)),""),ROWS($A$23:A123)))),"")</f>
        <v/>
      </c>
      <c r="Q123" s="655" t="str">
        <f t="array" ref="Q123">IFERROR(IF(Geo_Area_of_Opp_boost="Yes",INDEX($L$23:$L$2323,SMALL(IF((County=$M$23:$M$2323),MATCH(ROW($M$23:$M$2323),ROW($M$23:$M$2323)),""),ROWS($A$23:A123))),""),"")</f>
        <v/>
      </c>
    </row>
    <row r="124" spans="1:17" ht="14.4" customHeight="1">
      <c r="A124" s="649">
        <v>33625</v>
      </c>
      <c r="B124" s="650" t="s">
        <v>64</v>
      </c>
      <c r="E124" s="1"/>
      <c r="F124" s="650">
        <v>12</v>
      </c>
      <c r="G124" s="650" t="s">
        <v>50</v>
      </c>
      <c r="L124" s="654">
        <v>686.02</v>
      </c>
      <c r="M124" s="654" t="s">
        <v>36</v>
      </c>
      <c r="N124" s="208"/>
      <c r="O124" s="655" t="str">
        <f t="array" ref="O124">IFERROR(IF(QCT_metro_or_nonmetro="Metro",INDEX($F$23:$F$748,SMALL(IF((County=$G$23:$G$748),MATCH(ROW($G$23:$G$748),ROW($G$23:$G$748)),""),ROWS($A$23:A124))),INDEX($I$23:$I$52,SMALL(IF((County=$J$23:$J$52),MATCH(ROW($J$23:$J$52),ROW($J$23:$J$52)),""),ROWS($A$23:A124)))),"")</f>
        <v/>
      </c>
      <c r="Q124" s="655" t="str">
        <f t="array" ref="Q124">IFERROR(IF(Geo_Area_of_Opp_boost="Yes",INDEX($L$23:$L$2323,SMALL(IF((County=$M$23:$M$2323),MATCH(ROW($M$23:$M$2323),ROW($M$23:$M$2323)),""),ROWS($A$23:A124))),""),"")</f>
        <v/>
      </c>
    </row>
    <row r="125" spans="1:17" ht="14.4" customHeight="1">
      <c r="A125" s="649">
        <v>33626</v>
      </c>
      <c r="B125" s="650" t="s">
        <v>64</v>
      </c>
      <c r="E125" s="1"/>
      <c r="F125" s="650">
        <v>13</v>
      </c>
      <c r="G125" s="650" t="s">
        <v>50</v>
      </c>
      <c r="L125" s="654">
        <v>691</v>
      </c>
      <c r="M125" s="654" t="s">
        <v>36</v>
      </c>
      <c r="N125" s="208"/>
      <c r="O125" s="655" t="str">
        <f t="array" ref="O125">IFERROR(IF(QCT_metro_or_nonmetro="Metro",INDEX($F$23:$F$748,SMALL(IF((County=$G$23:$G$748),MATCH(ROW($G$23:$G$748),ROW($G$23:$G$748)),""),ROWS($A$23:A125))),INDEX($I$23:$I$52,SMALL(IF((County=$J$23:$J$52),MATCH(ROW($J$23:$J$52),ROW($J$23:$J$52)),""),ROWS($A$23:A125)))),"")</f>
        <v/>
      </c>
      <c r="Q125" s="655" t="str">
        <f t="array" ref="Q125">IFERROR(IF(Geo_Area_of_Opp_boost="Yes",INDEX($L$23:$L$2323,SMALL(IF((County=$M$23:$M$2323),MATCH(ROW($M$23:$M$2323),ROW($M$23:$M$2323)),""),ROWS($A$23:A125))),""),"")</f>
        <v/>
      </c>
    </row>
    <row r="126" spans="1:17" ht="14.4" customHeight="1">
      <c r="A126" s="649">
        <v>33629</v>
      </c>
      <c r="B126" s="650" t="s">
        <v>64</v>
      </c>
      <c r="E126" s="1"/>
      <c r="F126" s="650">
        <v>14</v>
      </c>
      <c r="G126" s="650" t="s">
        <v>50</v>
      </c>
      <c r="L126" s="654">
        <v>692</v>
      </c>
      <c r="M126" s="654" t="s">
        <v>36</v>
      </c>
      <c r="N126" s="208"/>
      <c r="O126" s="655" t="str">
        <f t="array" ref="O126">IFERROR(IF(QCT_metro_or_nonmetro="Metro",INDEX($F$23:$F$748,SMALL(IF((County=$G$23:$G$748),MATCH(ROW($G$23:$G$748),ROW($G$23:$G$748)),""),ROWS($A$23:A126))),INDEX($I$23:$I$52,SMALL(IF((County=$J$23:$J$52),MATCH(ROW($J$23:$J$52),ROW($J$23:$J$52)),""),ROWS($A$23:A126)))),"")</f>
        <v/>
      </c>
      <c r="Q126" s="655" t="str">
        <f t="array" ref="Q126">IFERROR(IF(Geo_Area_of_Opp_boost="Yes",INDEX($L$23:$L$2323,SMALL(IF((County=$M$23:$M$2323),MATCH(ROW($M$23:$M$2323),ROW($M$23:$M$2323)),""),ROWS($A$23:A126))),""),"")</f>
        <v/>
      </c>
    </row>
    <row r="127" spans="1:17" ht="14.4" customHeight="1">
      <c r="A127" s="649">
        <v>33634</v>
      </c>
      <c r="B127" s="650" t="s">
        <v>64</v>
      </c>
      <c r="E127" s="1"/>
      <c r="F127" s="650">
        <v>15</v>
      </c>
      <c r="G127" s="650" t="s">
        <v>50</v>
      </c>
      <c r="L127" s="654">
        <v>693</v>
      </c>
      <c r="M127" s="654" t="s">
        <v>36</v>
      </c>
      <c r="N127" s="208"/>
      <c r="O127" s="655" t="str">
        <f t="array" ref="O127">IFERROR(IF(QCT_metro_or_nonmetro="Metro",INDEX($F$23:$F$748,SMALL(IF((County=$G$23:$G$748),MATCH(ROW($G$23:$G$748),ROW($G$23:$G$748)),""),ROWS($A$23:A127))),INDEX($I$23:$I$52,SMALL(IF((County=$J$23:$J$52),MATCH(ROW($J$23:$J$52),ROW($J$23:$J$52)),""),ROWS($A$23:A127)))),"")</f>
        <v/>
      </c>
      <c r="Q127" s="655" t="str">
        <f t="array" ref="Q127">IFERROR(IF(Geo_Area_of_Opp_boost="Yes",INDEX($L$23:$L$2323,SMALL(IF((County=$M$23:$M$2323),MATCH(ROW($M$23:$M$2323),ROW($M$23:$M$2323)),""),ROWS($A$23:A127))),""),"")</f>
        <v/>
      </c>
    </row>
    <row r="128" spans="1:17" ht="14.4" customHeight="1">
      <c r="A128" s="649">
        <v>33635</v>
      </c>
      <c r="B128" s="650" t="s">
        <v>64</v>
      </c>
      <c r="E128" s="1"/>
      <c r="F128" s="650">
        <v>16</v>
      </c>
      <c r="G128" s="650" t="s">
        <v>50</v>
      </c>
      <c r="L128" s="654">
        <v>694</v>
      </c>
      <c r="M128" s="654" t="s">
        <v>36</v>
      </c>
      <c r="N128" s="208"/>
      <c r="O128" s="655" t="str">
        <f t="array" ref="O128">IFERROR(IF(QCT_metro_or_nonmetro="Metro",INDEX($F$23:$F$748,SMALL(IF((County=$G$23:$G$748),MATCH(ROW($G$23:$G$748),ROW($G$23:$G$748)),""),ROWS($A$23:A128))),INDEX($I$23:$I$52,SMALL(IF((County=$J$23:$J$52),MATCH(ROW($J$23:$J$52),ROW($J$23:$J$52)),""),ROWS($A$23:A128)))),"")</f>
        <v/>
      </c>
      <c r="Q128" s="655" t="str">
        <f t="array" ref="Q128">IFERROR(IF(Geo_Area_of_Opp_boost="Yes",INDEX($L$23:$L$2323,SMALL(IF((County=$M$23:$M$2323),MATCH(ROW($M$23:$M$2323),ROW($M$23:$M$2323)),""),ROWS($A$23:A128))),""),"")</f>
        <v/>
      </c>
    </row>
    <row r="129" spans="1:17" ht="14.4" customHeight="1">
      <c r="A129" s="649">
        <v>33637</v>
      </c>
      <c r="B129" s="650" t="s">
        <v>64</v>
      </c>
      <c r="E129" s="1"/>
      <c r="F129" s="650">
        <v>25.01</v>
      </c>
      <c r="G129" s="650" t="s">
        <v>50</v>
      </c>
      <c r="L129" s="654">
        <v>698.01</v>
      </c>
      <c r="M129" s="654" t="s">
        <v>36</v>
      </c>
      <c r="N129" s="208"/>
      <c r="O129" s="655" t="str">
        <f t="array" ref="O129">IFERROR(IF(QCT_metro_or_nonmetro="Metro",INDEX($F$23:$F$748,SMALL(IF((County=$G$23:$G$748),MATCH(ROW($G$23:$G$748),ROW($G$23:$G$748)),""),ROWS($A$23:A129))),INDEX($I$23:$I$52,SMALL(IF((County=$J$23:$J$52),MATCH(ROW($J$23:$J$52),ROW($J$23:$J$52)),""),ROWS($A$23:A129)))),"")</f>
        <v/>
      </c>
      <c r="Q129" s="655" t="str">
        <f t="array" ref="Q129">IFERROR(IF(Geo_Area_of_Opp_boost="Yes",INDEX($L$23:$L$2323,SMALL(IF((County=$M$23:$M$2323),MATCH(ROW($M$23:$M$2323),ROW($M$23:$M$2323)),""),ROWS($A$23:A129))),""),"")</f>
        <v/>
      </c>
    </row>
    <row r="130" spans="1:17" ht="14.4" customHeight="1">
      <c r="A130" s="649">
        <v>33647</v>
      </c>
      <c r="B130" s="650" t="s">
        <v>64</v>
      </c>
      <c r="E130" s="1"/>
      <c r="F130" s="650">
        <v>26</v>
      </c>
      <c r="G130" s="650" t="s">
        <v>50</v>
      </c>
      <c r="L130" s="654">
        <v>699.01</v>
      </c>
      <c r="M130" s="654" t="s">
        <v>36</v>
      </c>
      <c r="N130" s="208"/>
      <c r="O130" s="655" t="str">
        <f t="array" ref="O130">IFERROR(IF(QCT_metro_or_nonmetro="Metro",INDEX($F$23:$F$748,SMALL(IF((County=$G$23:$G$748),MATCH(ROW($G$23:$G$748),ROW($G$23:$G$748)),""),ROWS($A$23:A130))),INDEX($I$23:$I$52,SMALL(IF((County=$J$23:$J$52),MATCH(ROW($J$23:$J$52),ROW($J$23:$J$52)),""),ROWS($A$23:A130)))),"")</f>
        <v/>
      </c>
      <c r="Q130" s="655" t="str">
        <f t="array" ref="Q130">IFERROR(IF(Geo_Area_of_Opp_boost="Yes",INDEX($L$23:$L$2323,SMALL(IF((County=$M$23:$M$2323),MATCH(ROW($M$23:$M$2323),ROW($M$23:$M$2323)),""),ROWS($A$23:A130))),""),"")</f>
        <v/>
      </c>
    </row>
    <row r="131" spans="1:17" ht="14.4" customHeight="1">
      <c r="A131" s="649">
        <v>32963</v>
      </c>
      <c r="B131" s="650" t="s">
        <v>66</v>
      </c>
      <c r="E131" s="1"/>
      <c r="F131" s="650">
        <v>27.01</v>
      </c>
      <c r="G131" s="650" t="s">
        <v>50</v>
      </c>
      <c r="L131" s="654">
        <v>712</v>
      </c>
      <c r="M131" s="654" t="s">
        <v>36</v>
      </c>
      <c r="N131" s="208"/>
      <c r="O131" s="655" t="str">
        <f t="array" ref="O131">IFERROR(IF(QCT_metro_or_nonmetro="Metro",INDEX($F$23:$F$748,SMALL(IF((County=$G$23:$G$748),MATCH(ROW($G$23:$G$748),ROW($G$23:$G$748)),""),ROWS($A$23:A131))),INDEX($I$23:$I$52,SMALL(IF((County=$J$23:$J$52),MATCH(ROW($J$23:$J$52),ROW($J$23:$J$52)),""),ROWS($A$23:A131)))),"")</f>
        <v/>
      </c>
      <c r="Q131" s="655" t="str">
        <f t="array" ref="Q131">IFERROR(IF(Geo_Area_of_Opp_boost="Yes",INDEX($L$23:$L$2323,SMALL(IF((County=$M$23:$M$2323),MATCH(ROW($M$23:$M$2323),ROW($M$23:$M$2323)),""),ROWS($A$23:A131))),""),"")</f>
        <v/>
      </c>
    </row>
    <row r="132" spans="1:17" ht="14.4" customHeight="1">
      <c r="A132" s="649">
        <v>32968</v>
      </c>
      <c r="B132" s="650" t="s">
        <v>66</v>
      </c>
      <c r="E132" s="1"/>
      <c r="F132" s="650">
        <v>27.02</v>
      </c>
      <c r="G132" s="650" t="s">
        <v>50</v>
      </c>
      <c r="L132" s="654">
        <v>713.01</v>
      </c>
      <c r="M132" s="654" t="s">
        <v>36</v>
      </c>
      <c r="N132" s="208"/>
      <c r="O132" s="655" t="str">
        <f t="array" ref="O132">IFERROR(IF(QCT_metro_or_nonmetro="Metro",INDEX($F$23:$F$748,SMALL(IF((County=$G$23:$G$748),MATCH(ROW($G$23:$G$748),ROW($G$23:$G$748)),""),ROWS($A$23:A132))),INDEX($I$23:$I$52,SMALL(IF((County=$J$23:$J$52),MATCH(ROW($J$23:$J$52),ROW($J$23:$J$52)),""),ROWS($A$23:A132)))),"")</f>
        <v/>
      </c>
      <c r="Q132" s="655" t="str">
        <f t="array" ref="Q132">IFERROR(IF(Geo_Area_of_Opp_boost="Yes",INDEX($L$23:$L$2323,SMALL(IF((County=$M$23:$M$2323),MATCH(ROW($M$23:$M$2323),ROW($M$23:$M$2323)),""),ROWS($A$23:A132))),""),"")</f>
        <v/>
      </c>
    </row>
    <row r="133" spans="1:17" ht="14.4" customHeight="1">
      <c r="A133" s="649">
        <v>32735</v>
      </c>
      <c r="B133" s="650" t="s">
        <v>70</v>
      </c>
      <c r="E133" s="1"/>
      <c r="F133" s="650">
        <v>28.01</v>
      </c>
      <c r="G133" s="650" t="s">
        <v>50</v>
      </c>
      <c r="L133" s="654">
        <v>713.34</v>
      </c>
      <c r="M133" s="654" t="s">
        <v>36</v>
      </c>
      <c r="N133" s="208"/>
      <c r="O133" s="655" t="str">
        <f t="array" ref="O133">IFERROR(IF(QCT_metro_or_nonmetro="Metro",INDEX($F$23:$F$748,SMALL(IF((County=$G$23:$G$748),MATCH(ROW($G$23:$G$748),ROW($G$23:$G$748)),""),ROWS($A$23:A133))),INDEX($I$23:$I$52,SMALL(IF((County=$J$23:$J$52),MATCH(ROW($J$23:$J$52),ROW($J$23:$J$52)),""),ROWS($A$23:A133)))),"")</f>
        <v/>
      </c>
      <c r="Q133" s="655" t="str">
        <f t="array" ref="Q133">IFERROR(IF(Geo_Area_of_Opp_boost="Yes",INDEX($L$23:$L$2323,SMALL(IF((County=$M$23:$M$2323),MATCH(ROW($M$23:$M$2323),ROW($M$23:$M$2323)),""),ROWS($A$23:A133))),""),"")</f>
        <v/>
      </c>
    </row>
    <row r="134" spans="1:17" ht="14.4" customHeight="1">
      <c r="A134" s="649">
        <v>32776</v>
      </c>
      <c r="B134" s="650" t="s">
        <v>70</v>
      </c>
      <c r="E134" s="1"/>
      <c r="F134" s="650">
        <v>28.02</v>
      </c>
      <c r="G134" s="650" t="s">
        <v>50</v>
      </c>
      <c r="L134" s="654">
        <v>713.35</v>
      </c>
      <c r="M134" s="654" t="s">
        <v>36</v>
      </c>
      <c r="N134" s="208"/>
      <c r="O134" s="655" t="str">
        <f t="array" ref="O134">IFERROR(IF(QCT_metro_or_nonmetro="Metro",INDEX($F$23:$F$748,SMALL(IF((County=$G$23:$G$748),MATCH(ROW($G$23:$G$748),ROW($G$23:$G$748)),""),ROWS($A$23:A134))),INDEX($I$23:$I$52,SMALL(IF((County=$J$23:$J$52),MATCH(ROW($J$23:$J$52),ROW($J$23:$J$52)),""),ROWS($A$23:A134)))),"")</f>
        <v/>
      </c>
      <c r="Q134" s="655" t="str">
        <f t="array" ref="Q134">IFERROR(IF(Geo_Area_of_Opp_boost="Yes",INDEX($L$23:$L$2323,SMALL(IF((County=$M$23:$M$2323),MATCH(ROW($M$23:$M$2323),ROW($M$23:$M$2323)),""),ROWS($A$23:A134))),""),"")</f>
        <v/>
      </c>
    </row>
    <row r="135" spans="1:17" ht="14.4" customHeight="1">
      <c r="A135" s="649">
        <v>34711</v>
      </c>
      <c r="B135" s="650" t="s">
        <v>70</v>
      </c>
      <c r="E135" s="1"/>
      <c r="F135" s="650">
        <v>29.01</v>
      </c>
      <c r="G135" s="650" t="s">
        <v>50</v>
      </c>
      <c r="L135" s="654">
        <v>713.38</v>
      </c>
      <c r="M135" s="654" t="s">
        <v>36</v>
      </c>
      <c r="N135" s="208"/>
      <c r="O135" s="655" t="str">
        <f t="array" ref="O135">IFERROR(IF(QCT_metro_or_nonmetro="Metro",INDEX($F$23:$F$748,SMALL(IF((County=$G$23:$G$748),MATCH(ROW($G$23:$G$748),ROW($G$23:$G$748)),""),ROWS($A$23:A135))),INDEX($I$23:$I$52,SMALL(IF((County=$J$23:$J$52),MATCH(ROW($J$23:$J$52),ROW($J$23:$J$52)),""),ROWS($A$23:A135)))),"")</f>
        <v/>
      </c>
      <c r="Q135" s="655" t="str">
        <f t="array" ref="Q135">IFERROR(IF(Geo_Area_of_Opp_boost="Yes",INDEX($L$23:$L$2323,SMALL(IF((County=$M$23:$M$2323),MATCH(ROW($M$23:$M$2323),ROW($M$23:$M$2323)),""),ROWS($A$23:A135))),""),"")</f>
        <v/>
      </c>
    </row>
    <row r="136" spans="1:17" ht="14.4" customHeight="1">
      <c r="A136" s="649">
        <v>34714</v>
      </c>
      <c r="B136" s="650" t="s">
        <v>70</v>
      </c>
      <c r="E136" s="1"/>
      <c r="F136" s="650">
        <v>29.02</v>
      </c>
      <c r="G136" s="650" t="s">
        <v>50</v>
      </c>
      <c r="L136" s="654">
        <v>713.39</v>
      </c>
      <c r="M136" s="654" t="s">
        <v>36</v>
      </c>
      <c r="N136" s="208"/>
      <c r="O136" s="655" t="str">
        <f t="array" ref="O136">IFERROR(IF(QCT_metro_or_nonmetro="Metro",INDEX($F$23:$F$748,SMALL(IF((County=$G$23:$G$748),MATCH(ROW($G$23:$G$748),ROW($G$23:$G$748)),""),ROWS($A$23:A136))),INDEX($I$23:$I$52,SMALL(IF((County=$J$23:$J$52),MATCH(ROW($J$23:$J$52),ROW($J$23:$J$52)),""),ROWS($A$23:A136)))),"")</f>
        <v/>
      </c>
      <c r="Q136" s="655" t="str">
        <f t="array" ref="Q136">IFERROR(IF(Geo_Area_of_Opp_boost="Yes",INDEX($L$23:$L$2323,SMALL(IF((County=$M$23:$M$2323),MATCH(ROW($M$23:$M$2323),ROW($M$23:$M$2323)),""),ROWS($A$23:A136))),""),"")</f>
        <v/>
      </c>
    </row>
    <row r="137" spans="1:17" ht="14.4" customHeight="1">
      <c r="A137" s="649">
        <v>34715</v>
      </c>
      <c r="B137" s="650" t="s">
        <v>70</v>
      </c>
      <c r="E137" s="1"/>
      <c r="F137" s="650">
        <v>104.02</v>
      </c>
      <c r="G137" s="650" t="s">
        <v>50</v>
      </c>
      <c r="L137" s="654">
        <v>713.4</v>
      </c>
      <c r="M137" s="654" t="s">
        <v>36</v>
      </c>
      <c r="N137" s="208"/>
      <c r="O137" s="655" t="str">
        <f t="array" ref="O137">IFERROR(IF(QCT_metro_or_nonmetro="Metro",INDEX($F$23:$F$748,SMALL(IF((County=$G$23:$G$748),MATCH(ROW($G$23:$G$748),ROW($G$23:$G$748)),""),ROWS($A$23:A137))),INDEX($I$23:$I$52,SMALL(IF((County=$J$23:$J$52),MATCH(ROW($J$23:$J$52),ROW($J$23:$J$52)),""),ROWS($A$23:A137)))),"")</f>
        <v/>
      </c>
      <c r="Q137" s="655" t="str">
        <f t="array" ref="Q137">IFERROR(IF(Geo_Area_of_Opp_boost="Yes",INDEX($L$23:$L$2323,SMALL(IF((County=$M$23:$M$2323),MATCH(ROW($M$23:$M$2323),ROW($M$23:$M$2323)),""),ROWS($A$23:A137))),""),"")</f>
        <v/>
      </c>
    </row>
    <row r="138" spans="1:17" ht="14.4" customHeight="1">
      <c r="A138" s="649">
        <v>34736</v>
      </c>
      <c r="B138" s="650" t="s">
        <v>70</v>
      </c>
      <c r="E138" s="1"/>
      <c r="F138" s="650">
        <v>108</v>
      </c>
      <c r="G138" s="650" t="s">
        <v>50</v>
      </c>
      <c r="L138" s="654">
        <v>715</v>
      </c>
      <c r="M138" s="654" t="s">
        <v>36</v>
      </c>
      <c r="N138" s="208"/>
      <c r="O138" s="655" t="str">
        <f t="array" ref="O138">IFERROR(IF(QCT_metro_or_nonmetro="Metro",INDEX($F$23:$F$748,SMALL(IF((County=$G$23:$G$748),MATCH(ROW($G$23:$G$748),ROW($G$23:$G$748)),""),ROWS($A$23:A138))),INDEX($I$23:$I$52,SMALL(IF((County=$J$23:$J$52),MATCH(ROW($J$23:$J$52),ROW($J$23:$J$52)),""),ROWS($A$23:A138)))),"")</f>
        <v/>
      </c>
      <c r="Q138" s="655" t="str">
        <f t="array" ref="Q138">IFERROR(IF(Geo_Area_of_Opp_boost="Yes",INDEX($L$23:$L$2323,SMALL(IF((County=$M$23:$M$2323),MATCH(ROW($M$23:$M$2323),ROW($M$23:$M$2323)),""),ROWS($A$23:A138))),""),"")</f>
        <v/>
      </c>
    </row>
    <row r="139" spans="1:17" ht="14.4" customHeight="1">
      <c r="A139" s="649">
        <v>33908</v>
      </c>
      <c r="B139" s="650" t="s">
        <v>71</v>
      </c>
      <c r="E139" s="1"/>
      <c r="F139" s="650">
        <v>110</v>
      </c>
      <c r="G139" s="650" t="s">
        <v>50</v>
      </c>
      <c r="L139" s="654">
        <v>101.02</v>
      </c>
      <c r="M139" s="654" t="s">
        <v>37</v>
      </c>
      <c r="N139" s="208"/>
      <c r="O139" s="655" t="str">
        <f t="array" ref="O139">IFERROR(IF(QCT_metro_or_nonmetro="Metro",INDEX($F$23:$F$748,SMALL(IF((County=$G$23:$G$748),MATCH(ROW($G$23:$G$748),ROW($G$23:$G$748)),""),ROWS($A$23:A139))),INDEX($I$23:$I$52,SMALL(IF((County=$J$23:$J$52),MATCH(ROW($J$23:$J$52),ROW($J$23:$J$52)),""),ROWS($A$23:A139)))),"")</f>
        <v/>
      </c>
      <c r="Q139" s="655" t="str">
        <f t="array" ref="Q139">IFERROR(IF(Geo_Area_of_Opp_boost="Yes",INDEX($L$23:$L$2323,SMALL(IF((County=$M$23:$M$2323),MATCH(ROW($M$23:$M$2323),ROW($M$23:$M$2323)),""),ROWS($A$23:A139))),""),"")</f>
        <v/>
      </c>
    </row>
    <row r="140" spans="1:17" ht="14.4" customHeight="1">
      <c r="A140" s="649">
        <v>33909</v>
      </c>
      <c r="B140" s="650" t="s">
        <v>71</v>
      </c>
      <c r="E140" s="1"/>
      <c r="F140" s="650">
        <v>111</v>
      </c>
      <c r="G140" s="650" t="s">
        <v>50</v>
      </c>
      <c r="L140" s="654">
        <v>101.03</v>
      </c>
      <c r="M140" s="654" t="s">
        <v>37</v>
      </c>
      <c r="N140" s="208"/>
      <c r="O140" s="655" t="str">
        <f t="array" ref="O140">IFERROR(IF(QCT_metro_or_nonmetro="Metro",INDEX($F$23:$F$748,SMALL(IF((County=$G$23:$G$748),MATCH(ROW($G$23:$G$748),ROW($G$23:$G$748)),""),ROWS($A$23:A140))),INDEX($I$23:$I$52,SMALL(IF((County=$J$23:$J$52),MATCH(ROW($J$23:$J$52),ROW($J$23:$J$52)),""),ROWS($A$23:A140)))),"")</f>
        <v/>
      </c>
      <c r="Q140" s="655" t="str">
        <f t="array" ref="Q140">IFERROR(IF(Geo_Area_of_Opp_boost="Yes",INDEX($L$23:$L$2323,SMALL(IF((County=$M$23:$M$2323),MATCH(ROW($M$23:$M$2323),ROW($M$23:$M$2323)),""),ROWS($A$23:A140))),""),"")</f>
        <v/>
      </c>
    </row>
    <row r="141" spans="1:17" ht="14.4" customHeight="1">
      <c r="A141" s="649">
        <v>33912</v>
      </c>
      <c r="B141" s="650" t="s">
        <v>71</v>
      </c>
      <c r="E141" s="1"/>
      <c r="F141" s="650">
        <v>112</v>
      </c>
      <c r="G141" s="650" t="s">
        <v>50</v>
      </c>
      <c r="L141" s="654">
        <v>101.04</v>
      </c>
      <c r="M141" s="654" t="s">
        <v>37</v>
      </c>
      <c r="N141" s="208"/>
      <c r="O141" s="655" t="str">
        <f t="array" ref="O141">IFERROR(IF(QCT_metro_or_nonmetro="Metro",INDEX($F$23:$F$748,SMALL(IF((County=$G$23:$G$748),MATCH(ROW($G$23:$G$748),ROW($G$23:$G$748)),""),ROWS($A$23:A141))),INDEX($I$23:$I$52,SMALL(IF((County=$J$23:$J$52),MATCH(ROW($J$23:$J$52),ROW($J$23:$J$52)),""),ROWS($A$23:A141)))),"")</f>
        <v/>
      </c>
      <c r="Q141" s="655" t="str">
        <f t="array" ref="Q141">IFERROR(IF(Geo_Area_of_Opp_boost="Yes",INDEX($L$23:$L$2323,SMALL(IF((County=$M$23:$M$2323),MATCH(ROW($M$23:$M$2323),ROW($M$23:$M$2323)),""),ROWS($A$23:A141))),""),"")</f>
        <v/>
      </c>
    </row>
    <row r="142" spans="1:17" ht="14.4" customHeight="1">
      <c r="A142" s="649">
        <v>33913</v>
      </c>
      <c r="B142" s="650" t="s">
        <v>71</v>
      </c>
      <c r="E142" s="1"/>
      <c r="F142" s="650">
        <v>113</v>
      </c>
      <c r="G142" s="650" t="s">
        <v>50</v>
      </c>
      <c r="L142" s="654">
        <v>103.08</v>
      </c>
      <c r="M142" s="654" t="s">
        <v>37</v>
      </c>
      <c r="N142" s="208"/>
      <c r="O142" s="655" t="str">
        <f t="array" ref="O142">IFERROR(IF(QCT_metro_or_nonmetro="Metro",INDEX($F$23:$F$748,SMALL(IF((County=$G$23:$G$748),MATCH(ROW($G$23:$G$748),ROW($G$23:$G$748)),""),ROWS($A$23:A142))),INDEX($I$23:$I$52,SMALL(IF((County=$J$23:$J$52),MATCH(ROW($J$23:$J$52),ROW($J$23:$J$52)),""),ROWS($A$23:A142)))),"")</f>
        <v/>
      </c>
      <c r="Q142" s="655" t="str">
        <f t="array" ref="Q142">IFERROR(IF(Geo_Area_of_Opp_boost="Yes",INDEX($L$23:$L$2323,SMALL(IF((County=$M$23:$M$2323),MATCH(ROW($M$23:$M$2323),ROW($M$23:$M$2323)),""),ROWS($A$23:A142))),""),"")</f>
        <v/>
      </c>
    </row>
    <row r="143" spans="1:17" ht="14.4" customHeight="1">
      <c r="A143" s="649">
        <v>33914</v>
      </c>
      <c r="B143" s="650" t="s">
        <v>71</v>
      </c>
      <c r="E143" s="1"/>
      <c r="F143" s="650">
        <v>114</v>
      </c>
      <c r="G143" s="650" t="s">
        <v>50</v>
      </c>
      <c r="L143" s="654">
        <v>104.01</v>
      </c>
      <c r="M143" s="654" t="s">
        <v>37</v>
      </c>
      <c r="N143" s="208"/>
      <c r="O143" s="655" t="str">
        <f t="array" ref="O143">IFERROR(IF(QCT_metro_or_nonmetro="Metro",INDEX($F$23:$F$748,SMALL(IF((County=$G$23:$G$748),MATCH(ROW($G$23:$G$748),ROW($G$23:$G$748)),""),ROWS($A$23:A143))),INDEX($I$23:$I$52,SMALL(IF((County=$J$23:$J$52),MATCH(ROW($J$23:$J$52),ROW($J$23:$J$52)),""),ROWS($A$23:A143)))),"")</f>
        <v/>
      </c>
      <c r="Q143" s="655" t="str">
        <f t="array" ref="Q143">IFERROR(IF(Geo_Area_of_Opp_boost="Yes",INDEX($L$23:$L$2323,SMALL(IF((County=$M$23:$M$2323),MATCH(ROW($M$23:$M$2323),ROW($M$23:$M$2323)),""),ROWS($A$23:A143))),""),"")</f>
        <v/>
      </c>
    </row>
    <row r="144" spans="1:17" ht="14.4" customHeight="1">
      <c r="A144" s="649">
        <v>33919</v>
      </c>
      <c r="B144" s="650" t="s">
        <v>71</v>
      </c>
      <c r="E144" s="1"/>
      <c r="F144" s="650">
        <v>115</v>
      </c>
      <c r="G144" s="650" t="s">
        <v>50</v>
      </c>
      <c r="L144" s="654">
        <v>104.06</v>
      </c>
      <c r="M144" s="654" t="s">
        <v>37</v>
      </c>
      <c r="N144" s="208"/>
      <c r="O144" s="655" t="str">
        <f t="array" ref="O144">IFERROR(IF(QCT_metro_or_nonmetro="Metro",INDEX($F$23:$F$748,SMALL(IF((County=$G$23:$G$748),MATCH(ROW($G$23:$G$748),ROW($G$23:$G$748)),""),ROWS($A$23:A144))),INDEX($I$23:$I$52,SMALL(IF((County=$J$23:$J$52),MATCH(ROW($J$23:$J$52),ROW($J$23:$J$52)),""),ROWS($A$23:A144)))),"")</f>
        <v/>
      </c>
      <c r="Q144" s="655" t="str">
        <f t="array" ref="Q144">IFERROR(IF(Geo_Area_of_Opp_boost="Yes",INDEX($L$23:$L$2323,SMALL(IF((County=$M$23:$M$2323),MATCH(ROW($M$23:$M$2323),ROW($M$23:$M$2323)),""),ROWS($A$23:A144))),""),"")</f>
        <v/>
      </c>
    </row>
    <row r="145" spans="1:17" ht="14.4" customHeight="1">
      <c r="A145" s="649">
        <v>33921</v>
      </c>
      <c r="B145" s="650" t="s">
        <v>71</v>
      </c>
      <c r="E145" s="1"/>
      <c r="F145" s="650">
        <v>116</v>
      </c>
      <c r="G145" s="650" t="s">
        <v>50</v>
      </c>
      <c r="L145" s="654">
        <v>105.02</v>
      </c>
      <c r="M145" s="654" t="s">
        <v>37</v>
      </c>
      <c r="N145" s="208"/>
      <c r="O145" s="655" t="str">
        <f t="array" ref="O145">IFERROR(IF(QCT_metro_or_nonmetro="Metro",INDEX($F$23:$F$748,SMALL(IF((County=$G$23:$G$748),MATCH(ROW($G$23:$G$748),ROW($G$23:$G$748)),""),ROWS($A$23:A145))),INDEX($I$23:$I$52,SMALL(IF((County=$J$23:$J$52),MATCH(ROW($J$23:$J$52),ROW($J$23:$J$52)),""),ROWS($A$23:A145)))),"")</f>
        <v/>
      </c>
      <c r="Q145" s="655" t="str">
        <f t="array" ref="Q145">IFERROR(IF(Geo_Area_of_Opp_boost="Yes",INDEX($L$23:$L$2323,SMALL(IF((County=$M$23:$M$2323),MATCH(ROW($M$23:$M$2323),ROW($M$23:$M$2323)),""),ROWS($A$23:A145))),""),"")</f>
        <v/>
      </c>
    </row>
    <row r="146" spans="1:17" ht="14.4" customHeight="1">
      <c r="A146" s="649">
        <v>33924</v>
      </c>
      <c r="B146" s="650" t="s">
        <v>71</v>
      </c>
      <c r="E146" s="1"/>
      <c r="F146" s="650">
        <v>118</v>
      </c>
      <c r="G146" s="650" t="s">
        <v>50</v>
      </c>
      <c r="L146" s="654">
        <v>105.03</v>
      </c>
      <c r="M146" s="654" t="s">
        <v>37</v>
      </c>
      <c r="N146" s="208"/>
      <c r="O146" s="655" t="str">
        <f t="array" ref="O146">IFERROR(IF(QCT_metro_or_nonmetro="Metro",INDEX($F$23:$F$748,SMALL(IF((County=$G$23:$G$748),MATCH(ROW($G$23:$G$748),ROW($G$23:$G$748)),""),ROWS($A$23:A146))),INDEX($I$23:$I$52,SMALL(IF((County=$J$23:$J$52),MATCH(ROW($J$23:$J$52),ROW($J$23:$J$52)),""),ROWS($A$23:A146)))),"")</f>
        <v/>
      </c>
      <c r="Q146" s="655" t="str">
        <f t="array" ref="Q146">IFERROR(IF(Geo_Area_of_Opp_boost="Yes",INDEX($L$23:$L$2323,SMALL(IF((County=$M$23:$M$2323),MATCH(ROW($M$23:$M$2323),ROW($M$23:$M$2323)),""),ROWS($A$23:A146))),""),"")</f>
        <v/>
      </c>
    </row>
    <row r="147" spans="1:17" ht="14.4" customHeight="1">
      <c r="A147" s="649">
        <v>33928</v>
      </c>
      <c r="B147" s="650" t="s">
        <v>71</v>
      </c>
      <c r="E147" s="1"/>
      <c r="F147" s="650">
        <v>121</v>
      </c>
      <c r="G147" s="650" t="s">
        <v>50</v>
      </c>
      <c r="L147" s="654">
        <v>105.04</v>
      </c>
      <c r="M147" s="654" t="s">
        <v>37</v>
      </c>
      <c r="N147" s="208"/>
      <c r="O147" s="655" t="str">
        <f t="array" ref="O147">IFERROR(IF(QCT_metro_or_nonmetro="Metro",INDEX($F$23:$F$748,SMALL(IF((County=$G$23:$G$748),MATCH(ROW($G$23:$G$748),ROW($G$23:$G$748)),""),ROWS($A$23:A147))),INDEX($I$23:$I$52,SMALL(IF((County=$J$23:$J$52),MATCH(ROW($J$23:$J$52),ROW($J$23:$J$52)),""),ROWS($A$23:A147)))),"")</f>
        <v/>
      </c>
      <c r="Q147" s="655" t="str">
        <f t="array" ref="Q147">IFERROR(IF(Geo_Area_of_Opp_boost="Yes",INDEX($L$23:$L$2323,SMALL(IF((County=$M$23:$M$2323),MATCH(ROW($M$23:$M$2323),ROW($M$23:$M$2323)),""),ROWS($A$23:A147))),""),"")</f>
        <v/>
      </c>
    </row>
    <row r="148" spans="1:17" ht="14.4" customHeight="1">
      <c r="A148" s="649">
        <v>33957</v>
      </c>
      <c r="B148" s="650" t="s">
        <v>71</v>
      </c>
      <c r="E148" s="1"/>
      <c r="F148" s="650">
        <v>122</v>
      </c>
      <c r="G148" s="650" t="s">
        <v>50</v>
      </c>
      <c r="L148" s="654">
        <v>106.01</v>
      </c>
      <c r="M148" s="654" t="s">
        <v>37</v>
      </c>
      <c r="N148" s="208"/>
      <c r="O148" s="655" t="str">
        <f t="array" ref="O148">IFERROR(IF(QCT_metro_or_nonmetro="Metro",INDEX($F$23:$F$748,SMALL(IF((County=$G$23:$G$748),MATCH(ROW($G$23:$G$748),ROW($G$23:$G$748)),""),ROWS($A$23:A148))),INDEX($I$23:$I$52,SMALL(IF((County=$J$23:$J$52),MATCH(ROW($J$23:$J$52),ROW($J$23:$J$52)),""),ROWS($A$23:A148)))),"")</f>
        <v/>
      </c>
      <c r="Q148" s="655" t="str">
        <f t="array" ref="Q148">IFERROR(IF(Geo_Area_of_Opp_boost="Yes",INDEX($L$23:$L$2323,SMALL(IF((County=$M$23:$M$2323),MATCH(ROW($M$23:$M$2323),ROW($M$23:$M$2323)),""),ROWS($A$23:A148))),""),"")</f>
        <v/>
      </c>
    </row>
    <row r="149" spans="1:17" ht="14.4" customHeight="1">
      <c r="A149" s="649">
        <v>33965</v>
      </c>
      <c r="B149" s="650" t="s">
        <v>71</v>
      </c>
      <c r="E149" s="1"/>
      <c r="F149" s="650">
        <v>125</v>
      </c>
      <c r="G149" s="650" t="s">
        <v>50</v>
      </c>
      <c r="L149" s="654">
        <v>106.03</v>
      </c>
      <c r="M149" s="654" t="s">
        <v>37</v>
      </c>
      <c r="N149" s="208"/>
      <c r="O149" s="655" t="str">
        <f t="array" ref="O149">IFERROR(IF(QCT_metro_or_nonmetro="Metro",INDEX($F$23:$F$748,SMALL(IF((County=$G$23:$G$748),MATCH(ROW($G$23:$G$748),ROW($G$23:$G$748)),""),ROWS($A$23:A149))),INDEX($I$23:$I$52,SMALL(IF((County=$J$23:$J$52),MATCH(ROW($J$23:$J$52),ROW($J$23:$J$52)),""),ROWS($A$23:A149)))),"")</f>
        <v/>
      </c>
      <c r="Q149" s="655" t="str">
        <f t="array" ref="Q149">IFERROR(IF(Geo_Area_of_Opp_boost="Yes",INDEX($L$23:$L$2323,SMALL(IF((County=$M$23:$M$2323),MATCH(ROW($M$23:$M$2323),ROW($M$23:$M$2323)),""),ROWS($A$23:A149))),""),"")</f>
        <v/>
      </c>
    </row>
    <row r="150" spans="1:17" ht="14.4" customHeight="1">
      <c r="A150" s="649">
        <v>33967</v>
      </c>
      <c r="B150" s="650" t="s">
        <v>71</v>
      </c>
      <c r="E150" s="1"/>
      <c r="F150" s="650">
        <v>126.01</v>
      </c>
      <c r="G150" s="650" t="s">
        <v>50</v>
      </c>
      <c r="L150" s="654">
        <v>106.04</v>
      </c>
      <c r="M150" s="654" t="s">
        <v>37</v>
      </c>
      <c r="N150" s="208"/>
      <c r="O150" s="655" t="str">
        <f t="array" ref="O150">IFERROR(IF(QCT_metro_or_nonmetro="Metro",INDEX($F$23:$F$748,SMALL(IF((County=$G$23:$G$748),MATCH(ROW($G$23:$G$748),ROW($G$23:$G$748)),""),ROWS($A$23:A150))),INDEX($I$23:$I$52,SMALL(IF((County=$J$23:$J$52),MATCH(ROW($J$23:$J$52),ROW($J$23:$J$52)),""),ROWS($A$23:A150)))),"")</f>
        <v/>
      </c>
      <c r="Q150" s="655" t="str">
        <f t="array" ref="Q150">IFERROR(IF(Geo_Area_of_Opp_boost="Yes",INDEX($L$23:$L$2323,SMALL(IF((County=$M$23:$M$2323),MATCH(ROW($M$23:$M$2323),ROW($M$23:$M$2323)),""),ROWS($A$23:A150))),""),"")</f>
        <v/>
      </c>
    </row>
    <row r="151" spans="1:17" ht="14.4" customHeight="1">
      <c r="A151" s="649">
        <v>33991</v>
      </c>
      <c r="B151" s="650" t="s">
        <v>71</v>
      </c>
      <c r="E151" s="1"/>
      <c r="F151" s="650">
        <v>134.02000000000001</v>
      </c>
      <c r="G151" s="650" t="s">
        <v>50</v>
      </c>
      <c r="L151" s="654">
        <v>106.05</v>
      </c>
      <c r="M151" s="654" t="s">
        <v>37</v>
      </c>
      <c r="N151" s="208"/>
      <c r="O151" s="655" t="str">
        <f t="array" ref="O151">IFERROR(IF(QCT_metro_or_nonmetro="Metro",INDEX($F$23:$F$748,SMALL(IF((County=$G$23:$G$748),MATCH(ROW($G$23:$G$748),ROW($G$23:$G$748)),""),ROWS($A$23:A151))),INDEX($I$23:$I$52,SMALL(IF((County=$J$23:$J$52),MATCH(ROW($J$23:$J$52),ROW($J$23:$J$52)),""),ROWS($A$23:A151)))),"")</f>
        <v/>
      </c>
      <c r="Q151" s="655" t="str">
        <f t="array" ref="Q151">IFERROR(IF(Geo_Area_of_Opp_boost="Yes",INDEX($L$23:$L$2323,SMALL(IF((County=$M$23:$M$2323),MATCH(ROW($M$23:$M$2323),ROW($M$23:$M$2323)),""),ROWS($A$23:A151))),""),"")</f>
        <v/>
      </c>
    </row>
    <row r="152" spans="1:17" ht="14.4" customHeight="1">
      <c r="A152" s="649">
        <v>33993</v>
      </c>
      <c r="B152" s="650" t="s">
        <v>71</v>
      </c>
      <c r="E152" s="1"/>
      <c r="F152" s="650">
        <v>148</v>
      </c>
      <c r="G152" s="650" t="s">
        <v>50</v>
      </c>
      <c r="L152" s="654">
        <v>106.06</v>
      </c>
      <c r="M152" s="654" t="s">
        <v>37</v>
      </c>
      <c r="N152" s="208"/>
      <c r="O152" s="655" t="str">
        <f t="array" ref="O152">IFERROR(IF(QCT_metro_or_nonmetro="Metro",INDEX($F$23:$F$748,SMALL(IF((County=$G$23:$G$748),MATCH(ROW($G$23:$G$748),ROW($G$23:$G$748)),""),ROWS($A$23:A152))),INDEX($I$23:$I$52,SMALL(IF((County=$J$23:$J$52),MATCH(ROW($J$23:$J$52),ROW($J$23:$J$52)),""),ROWS($A$23:A152)))),"")</f>
        <v/>
      </c>
      <c r="Q152" s="655" t="str">
        <f t="array" ref="Q152">IFERROR(IF(Geo_Area_of_Opp_boost="Yes",INDEX($L$23:$L$2323,SMALL(IF((County=$M$23:$M$2323),MATCH(ROW($M$23:$M$2323),ROW($M$23:$M$2323)),""),ROWS($A$23:A152))),""),"")</f>
        <v/>
      </c>
    </row>
    <row r="153" spans="1:17" ht="14.4" customHeight="1">
      <c r="A153" s="649">
        <v>34134</v>
      </c>
      <c r="B153" s="650" t="s">
        <v>71</v>
      </c>
      <c r="E153" s="1"/>
      <c r="F153" s="650">
        <v>155.01</v>
      </c>
      <c r="G153" s="650" t="s">
        <v>50</v>
      </c>
      <c r="L153" s="654">
        <v>106.07</v>
      </c>
      <c r="M153" s="654" t="s">
        <v>37</v>
      </c>
      <c r="N153" s="208"/>
      <c r="O153" s="655" t="str">
        <f t="array" ref="O153">IFERROR(IF(QCT_metro_or_nonmetro="Metro",INDEX($F$23:$F$748,SMALL(IF((County=$G$23:$G$748),MATCH(ROW($G$23:$G$748),ROW($G$23:$G$748)),""),ROWS($A$23:A153))),INDEX($I$23:$I$52,SMALL(IF((County=$J$23:$J$52),MATCH(ROW($J$23:$J$52),ROW($J$23:$J$52)),""),ROWS($A$23:A153)))),"")</f>
        <v/>
      </c>
      <c r="Q153" s="655" t="str">
        <f t="array" ref="Q153">IFERROR(IF(Geo_Area_of_Opp_boost="Yes",INDEX($L$23:$L$2323,SMALL(IF((County=$M$23:$M$2323),MATCH(ROW($M$23:$M$2323),ROW($M$23:$M$2323)),""),ROWS($A$23:A153))),""),"")</f>
        <v/>
      </c>
    </row>
    <row r="154" spans="1:17" ht="14.4" customHeight="1">
      <c r="A154" s="649">
        <v>34135</v>
      </c>
      <c r="B154" s="650" t="s">
        <v>71</v>
      </c>
      <c r="E154" s="1"/>
      <c r="F154" s="650">
        <v>155.02000000000001</v>
      </c>
      <c r="G154" s="650" t="s">
        <v>50</v>
      </c>
      <c r="L154" s="654">
        <v>106.09</v>
      </c>
      <c r="M154" s="654" t="s">
        <v>37</v>
      </c>
      <c r="N154" s="208"/>
      <c r="O154" s="655" t="str">
        <f t="array" ref="O154">IFERROR(IF(QCT_metro_or_nonmetro="Metro",INDEX($F$23:$F$748,SMALL(IF((County=$G$23:$G$748),MATCH(ROW($G$23:$G$748),ROW($G$23:$G$748)),""),ROWS($A$23:A154))),INDEX($I$23:$I$52,SMALL(IF((County=$J$23:$J$52),MATCH(ROW($J$23:$J$52),ROW($J$23:$J$52)),""),ROWS($A$23:A154)))),"")</f>
        <v/>
      </c>
      <c r="Q154" s="655" t="str">
        <f t="array" ref="Q154">IFERROR(IF(Geo_Area_of_Opp_boost="Yes",INDEX($L$23:$L$2323,SMALL(IF((County=$M$23:$M$2323),MATCH(ROW($M$23:$M$2323),ROW($M$23:$M$2323)),""),ROWS($A$23:A154))),""),"")</f>
        <v/>
      </c>
    </row>
    <row r="155" spans="1:17" ht="14.4" customHeight="1">
      <c r="A155" s="649">
        <v>32317</v>
      </c>
      <c r="B155" s="650" t="s">
        <v>72</v>
      </c>
      <c r="E155" s="1"/>
      <c r="F155" s="650">
        <v>159.25</v>
      </c>
      <c r="G155" s="650" t="s">
        <v>50</v>
      </c>
      <c r="L155" s="654">
        <v>106.1</v>
      </c>
      <c r="M155" s="654" t="s">
        <v>37</v>
      </c>
      <c r="N155" s="208"/>
      <c r="O155" s="655" t="str">
        <f t="array" ref="O155">IFERROR(IF(QCT_metro_or_nonmetro="Metro",INDEX($F$23:$F$748,SMALL(IF((County=$G$23:$G$748),MATCH(ROW($G$23:$G$748),ROW($G$23:$G$748)),""),ROWS($A$23:A155))),INDEX($I$23:$I$52,SMALL(IF((County=$J$23:$J$52),MATCH(ROW($J$23:$J$52),ROW($J$23:$J$52)),""),ROWS($A$23:A155)))),"")</f>
        <v/>
      </c>
      <c r="Q155" s="655" t="str">
        <f t="array" ref="Q155">IFERROR(IF(Geo_Area_of_Opp_boost="Yes",INDEX($L$23:$L$2323,SMALL(IF((County=$M$23:$M$2323),MATCH(ROW($M$23:$M$2323),ROW($M$23:$M$2323)),""),ROWS($A$23:A155))),""),"")</f>
        <v/>
      </c>
    </row>
    <row r="156" spans="1:17" ht="14.4" customHeight="1">
      <c r="A156" s="649">
        <v>34201</v>
      </c>
      <c r="B156" s="650" t="s">
        <v>76</v>
      </c>
      <c r="E156" s="1"/>
      <c r="F156" s="650">
        <v>160</v>
      </c>
      <c r="G156" s="650" t="s">
        <v>50</v>
      </c>
      <c r="L156" s="654">
        <v>106.11</v>
      </c>
      <c r="M156" s="654" t="s">
        <v>37</v>
      </c>
      <c r="N156" s="208"/>
      <c r="O156" s="655" t="str">
        <f t="array" ref="O156">IFERROR(IF(QCT_metro_or_nonmetro="Metro",INDEX($F$23:$F$748,SMALL(IF((County=$G$23:$G$748),MATCH(ROW($G$23:$G$748),ROW($G$23:$G$748)),""),ROWS($A$23:A156))),INDEX($I$23:$I$52,SMALL(IF((County=$J$23:$J$52),MATCH(ROW($J$23:$J$52),ROW($J$23:$J$52)),""),ROWS($A$23:A156)))),"")</f>
        <v/>
      </c>
      <c r="Q156" s="655" t="str">
        <f t="array" ref="Q156">IFERROR(IF(Geo_Area_of_Opp_boost="Yes",INDEX($L$23:$L$2323,SMALL(IF((County=$M$23:$M$2323),MATCH(ROW($M$23:$M$2323),ROW($M$23:$M$2323)),""),ROWS($A$23:A156))),""),"")</f>
        <v/>
      </c>
    </row>
    <row r="157" spans="1:17" ht="14.4" customHeight="1">
      <c r="A157" s="649">
        <v>34202</v>
      </c>
      <c r="B157" s="650" t="s">
        <v>76</v>
      </c>
      <c r="E157" s="1"/>
      <c r="F157" s="650">
        <v>163</v>
      </c>
      <c r="G157" s="650" t="s">
        <v>50</v>
      </c>
      <c r="L157" s="654">
        <v>106.12</v>
      </c>
      <c r="M157" s="654" t="s">
        <v>37</v>
      </c>
      <c r="N157" s="208"/>
      <c r="O157" s="655" t="str">
        <f t="array" ref="O157">IFERROR(IF(QCT_metro_or_nonmetro="Metro",INDEX($F$23:$F$748,SMALL(IF((County=$G$23:$G$748),MATCH(ROW($G$23:$G$748),ROW($G$23:$G$748)),""),ROWS($A$23:A157))),INDEX($I$23:$I$52,SMALL(IF((County=$J$23:$J$52),MATCH(ROW($J$23:$J$52),ROW($J$23:$J$52)),""),ROWS($A$23:A157)))),"")</f>
        <v/>
      </c>
      <c r="Q157" s="655" t="str">
        <f t="array" ref="Q157">IFERROR(IF(Geo_Area_of_Opp_boost="Yes",INDEX($L$23:$L$2323,SMALL(IF((County=$M$23:$M$2323),MATCH(ROW($M$23:$M$2323),ROW($M$23:$M$2323)),""),ROWS($A$23:A157))),""),"")</f>
        <v/>
      </c>
    </row>
    <row r="158" spans="1:17" ht="14.4" customHeight="1">
      <c r="A158" s="649">
        <v>34211</v>
      </c>
      <c r="B158" s="650" t="s">
        <v>76</v>
      </c>
      <c r="E158" s="1"/>
      <c r="F158" s="650">
        <v>166.01</v>
      </c>
      <c r="G158" s="650" t="s">
        <v>50</v>
      </c>
      <c r="L158" s="654">
        <v>109.01</v>
      </c>
      <c r="M158" s="654" t="s">
        <v>37</v>
      </c>
      <c r="N158" s="208"/>
      <c r="O158" s="655" t="str">
        <f t="array" ref="O158">IFERROR(IF(QCT_metro_or_nonmetro="Metro",INDEX($F$23:$F$748,SMALL(IF((County=$G$23:$G$748),MATCH(ROW($G$23:$G$748),ROW($G$23:$G$748)),""),ROWS($A$23:A158))),INDEX($I$23:$I$52,SMALL(IF((County=$J$23:$J$52),MATCH(ROW($J$23:$J$52),ROW($J$23:$J$52)),""),ROWS($A$23:A158)))),"")</f>
        <v/>
      </c>
      <c r="Q158" s="655" t="str">
        <f t="array" ref="Q158">IFERROR(IF(Geo_Area_of_Opp_boost="Yes",INDEX($L$23:$L$2323,SMALL(IF((County=$M$23:$M$2323),MATCH(ROW($M$23:$M$2323),ROW($M$23:$M$2323)),""),ROWS($A$23:A158))),""),"")</f>
        <v/>
      </c>
    </row>
    <row r="159" spans="1:17" ht="14.4" customHeight="1">
      <c r="A159" s="649">
        <v>34212</v>
      </c>
      <c r="B159" s="650" t="s">
        <v>76</v>
      </c>
      <c r="E159" s="1"/>
      <c r="F159" s="650">
        <v>172</v>
      </c>
      <c r="G159" s="650" t="s">
        <v>50</v>
      </c>
      <c r="L159" s="654">
        <v>109.02</v>
      </c>
      <c r="M159" s="654" t="s">
        <v>37</v>
      </c>
      <c r="N159" s="208"/>
      <c r="O159" s="655" t="str">
        <f t="array" ref="O159">IFERROR(IF(QCT_metro_or_nonmetro="Metro",INDEX($F$23:$F$748,SMALL(IF((County=$G$23:$G$748),MATCH(ROW($G$23:$G$748),ROW($G$23:$G$748)),""),ROWS($A$23:A159))),INDEX($I$23:$I$52,SMALL(IF((County=$J$23:$J$52),MATCH(ROW($J$23:$J$52),ROW($J$23:$J$52)),""),ROWS($A$23:A159)))),"")</f>
        <v/>
      </c>
      <c r="Q159" s="655" t="str">
        <f t="array" ref="Q159">IFERROR(IF(Geo_Area_of_Opp_boost="Yes",INDEX($L$23:$L$2323,SMALL(IF((County=$M$23:$M$2323),MATCH(ROW($M$23:$M$2323),ROW($M$23:$M$2323)),""),ROWS($A$23:A159))),""),"")</f>
        <v/>
      </c>
    </row>
    <row r="160" spans="1:17" ht="14.4" customHeight="1">
      <c r="A160" s="649">
        <v>34216</v>
      </c>
      <c r="B160" s="650" t="s">
        <v>76</v>
      </c>
      <c r="E160" s="1"/>
      <c r="F160" s="650">
        <v>174</v>
      </c>
      <c r="G160" s="650" t="s">
        <v>50</v>
      </c>
      <c r="L160" s="654">
        <v>110</v>
      </c>
      <c r="M160" s="654" t="s">
        <v>37</v>
      </c>
      <c r="N160" s="208"/>
      <c r="O160" s="655" t="str">
        <f t="array" ref="O160">IFERROR(IF(QCT_metro_or_nonmetro="Metro",INDEX($F$23:$F$748,SMALL(IF((County=$G$23:$G$748),MATCH(ROW($G$23:$G$748),ROW($G$23:$G$748)),""),ROWS($A$23:A160))),INDEX($I$23:$I$52,SMALL(IF((County=$J$23:$J$52),MATCH(ROW($J$23:$J$52),ROW($J$23:$J$52)),""),ROWS($A$23:A160)))),"")</f>
        <v/>
      </c>
      <c r="Q160" s="655" t="str">
        <f t="array" ref="Q160">IFERROR(IF(Geo_Area_of_Opp_boost="Yes",INDEX($L$23:$L$2323,SMALL(IF((County=$M$23:$M$2323),MATCH(ROW($M$23:$M$2323),ROW($M$23:$M$2323)),""),ROWS($A$23:A160))),""),"")</f>
        <v/>
      </c>
    </row>
    <row r="161" spans="1:17" ht="14.4" customHeight="1">
      <c r="A161" s="649">
        <v>34217</v>
      </c>
      <c r="B161" s="650" t="s">
        <v>76</v>
      </c>
      <c r="E161" s="1"/>
      <c r="F161" s="650">
        <v>3</v>
      </c>
      <c r="G161" s="653" t="s">
        <v>52</v>
      </c>
      <c r="L161" s="654">
        <v>202.04</v>
      </c>
      <c r="M161" s="654" t="s">
        <v>37</v>
      </c>
      <c r="N161" s="208"/>
      <c r="O161" s="655" t="str">
        <f t="array" ref="O161">IFERROR(IF(QCT_metro_or_nonmetro="Metro",INDEX($F$23:$F$748,SMALL(IF((County=$G$23:$G$748),MATCH(ROW($G$23:$G$748),ROW($G$23:$G$748)),""),ROWS($A$23:A161))),INDEX($I$23:$I$52,SMALL(IF((County=$J$23:$J$52),MATCH(ROW($J$23:$J$52),ROW($J$23:$J$52)),""),ROWS($A$23:A161)))),"")</f>
        <v/>
      </c>
      <c r="Q161" s="655" t="str">
        <f t="array" ref="Q161">IFERROR(IF(Geo_Area_of_Opp_boost="Yes",INDEX($L$23:$L$2323,SMALL(IF((County=$M$23:$M$2323),MATCH(ROW($M$23:$M$2323),ROW($M$23:$M$2323)),""),ROWS($A$23:A161))),""),"")</f>
        <v/>
      </c>
    </row>
    <row r="162" spans="1:17" ht="14.4" customHeight="1">
      <c r="A162" s="649">
        <v>34219</v>
      </c>
      <c r="B162" s="650" t="s">
        <v>76</v>
      </c>
      <c r="E162" s="1"/>
      <c r="F162" s="650">
        <v>4</v>
      </c>
      <c r="G162" s="653" t="s">
        <v>52</v>
      </c>
      <c r="L162" s="654">
        <v>202.05</v>
      </c>
      <c r="M162" s="654" t="s">
        <v>37</v>
      </c>
      <c r="N162" s="208"/>
      <c r="O162" s="655" t="str">
        <f t="array" ref="O162">IFERROR(IF(QCT_metro_or_nonmetro="Metro",INDEX($F$23:$F$748,SMALL(IF((County=$G$23:$G$748),MATCH(ROW($G$23:$G$748),ROW($G$23:$G$748)),""),ROWS($A$23:A162))),INDEX($I$23:$I$52,SMALL(IF((County=$J$23:$J$52),MATCH(ROW($J$23:$J$52),ROW($J$23:$J$52)),""),ROWS($A$23:A162)))),"")</f>
        <v/>
      </c>
      <c r="Q162" s="655" t="str">
        <f t="array" ref="Q162">IFERROR(IF(Geo_Area_of_Opp_boost="Yes",INDEX($L$23:$L$2323,SMALL(IF((County=$M$23:$M$2323),MATCH(ROW($M$23:$M$2323),ROW($M$23:$M$2323)),""),ROWS($A$23:A162))),""),"")</f>
        <v/>
      </c>
    </row>
    <row r="163" spans="1:17" ht="14.4" customHeight="1">
      <c r="A163" s="649">
        <v>34243</v>
      </c>
      <c r="B163" s="650" t="s">
        <v>76</v>
      </c>
      <c r="E163" s="1"/>
      <c r="F163" s="650">
        <v>6</v>
      </c>
      <c r="G163" s="653" t="s">
        <v>52</v>
      </c>
      <c r="L163" s="654">
        <v>203.09</v>
      </c>
      <c r="M163" s="654" t="s">
        <v>37</v>
      </c>
      <c r="N163" s="208"/>
      <c r="O163" s="655" t="str">
        <f t="array" ref="O163">IFERROR(IF(QCT_metro_or_nonmetro="Metro",INDEX($F$23:$F$748,SMALL(IF((County=$G$23:$G$748),MATCH(ROW($G$23:$G$748),ROW($G$23:$G$748)),""),ROWS($A$23:A163))),INDEX($I$23:$I$52,SMALL(IF((County=$J$23:$J$52),MATCH(ROW($J$23:$J$52),ROW($J$23:$J$52)),""),ROWS($A$23:A163)))),"")</f>
        <v/>
      </c>
      <c r="Q163" s="655" t="str">
        <f t="array" ref="Q163">IFERROR(IF(Geo_Area_of_Opp_boost="Yes",INDEX($L$23:$L$2323,SMALL(IF((County=$M$23:$M$2323),MATCH(ROW($M$23:$M$2323),ROW($M$23:$M$2323)),""),ROWS($A$23:A163))),""),"")</f>
        <v/>
      </c>
    </row>
    <row r="164" spans="1:17" ht="14.4" customHeight="1">
      <c r="A164" s="649">
        <v>34251</v>
      </c>
      <c r="B164" s="650" t="s">
        <v>76</v>
      </c>
      <c r="E164" s="1"/>
      <c r="F164" s="650">
        <v>13</v>
      </c>
      <c r="G164" s="653" t="s">
        <v>52</v>
      </c>
      <c r="L164" s="654">
        <v>203.12</v>
      </c>
      <c r="M164" s="654" t="s">
        <v>37</v>
      </c>
      <c r="N164" s="208"/>
      <c r="O164" s="655" t="str">
        <f t="array" ref="O164">IFERROR(IF(QCT_metro_or_nonmetro="Metro",INDEX($F$23:$F$748,SMALL(IF((County=$G$23:$G$748),MATCH(ROW($G$23:$G$748),ROW($G$23:$G$748)),""),ROWS($A$23:A164))),INDEX($I$23:$I$52,SMALL(IF((County=$J$23:$J$52),MATCH(ROW($J$23:$J$52),ROW($J$23:$J$52)),""),ROWS($A$23:A164)))),"")</f>
        <v/>
      </c>
      <c r="Q164" s="655" t="str">
        <f t="array" ref="Q164">IFERROR(IF(Geo_Area_of_Opp_boost="Yes",INDEX($L$23:$L$2323,SMALL(IF((County=$M$23:$M$2323),MATCH(ROW($M$23:$M$2323),ROW($M$23:$M$2323)),""),ROWS($A$23:A164))),""),"")</f>
        <v/>
      </c>
    </row>
    <row r="165" spans="1:17" ht="14.4" customHeight="1">
      <c r="A165" s="649">
        <v>32133</v>
      </c>
      <c r="B165" s="650" t="s">
        <v>77</v>
      </c>
      <c r="E165" s="1"/>
      <c r="F165" s="650">
        <v>15</v>
      </c>
      <c r="G165" s="653" t="s">
        <v>52</v>
      </c>
      <c r="L165" s="654">
        <v>203.13</v>
      </c>
      <c r="M165" s="654" t="s">
        <v>37</v>
      </c>
      <c r="N165" s="208"/>
      <c r="O165" s="655" t="str">
        <f t="array" ref="O165">IFERROR(IF(QCT_metro_or_nonmetro="Metro",INDEX($F$23:$F$748,SMALL(IF((County=$G$23:$G$748),MATCH(ROW($G$23:$G$748),ROW($G$23:$G$748)),""),ROWS($A$23:A165))),INDEX($I$23:$I$52,SMALL(IF((County=$J$23:$J$52),MATCH(ROW($J$23:$J$52),ROW($J$23:$J$52)),""),ROWS($A$23:A165)))),"")</f>
        <v/>
      </c>
      <c r="Q165" s="655" t="str">
        <f t="array" ref="Q165">IFERROR(IF(Geo_Area_of_Opp_boost="Yes",INDEX($L$23:$L$2323,SMALL(IF((County=$M$23:$M$2323),MATCH(ROW($M$23:$M$2323),ROW($M$23:$M$2323)),""),ROWS($A$23:A165))),""),"")</f>
        <v/>
      </c>
    </row>
    <row r="166" spans="1:17" ht="14.4" customHeight="1">
      <c r="A166" s="649">
        <v>32195</v>
      </c>
      <c r="B166" s="650" t="s">
        <v>77</v>
      </c>
      <c r="E166" s="1"/>
      <c r="F166" s="650">
        <v>16</v>
      </c>
      <c r="G166" s="653" t="s">
        <v>52</v>
      </c>
      <c r="L166" s="654">
        <v>203.15</v>
      </c>
      <c r="M166" s="654" t="s">
        <v>37</v>
      </c>
      <c r="N166" s="208"/>
      <c r="O166" s="655" t="str">
        <f t="array" ref="O166">IFERROR(IF(QCT_metro_or_nonmetro="Metro",INDEX($F$23:$F$748,SMALL(IF((County=$G$23:$G$748),MATCH(ROW($G$23:$G$748),ROW($G$23:$G$748)),""),ROWS($A$23:A166))),INDEX($I$23:$I$52,SMALL(IF((County=$J$23:$J$52),MATCH(ROW($J$23:$J$52),ROW($J$23:$J$52)),""),ROWS($A$23:A166)))),"")</f>
        <v/>
      </c>
      <c r="Q166" s="655" t="str">
        <f t="array" ref="Q166">IFERROR(IF(Geo_Area_of_Opp_boost="Yes",INDEX($L$23:$L$2323,SMALL(IF((County=$M$23:$M$2323),MATCH(ROW($M$23:$M$2323),ROW($M$23:$M$2323)),""),ROWS($A$23:A166))),""),"")</f>
        <v/>
      </c>
    </row>
    <row r="167" spans="1:17" ht="14.4" customHeight="1">
      <c r="A167" s="649">
        <v>34472</v>
      </c>
      <c r="B167" s="650" t="s">
        <v>77</v>
      </c>
      <c r="E167" s="1"/>
      <c r="F167" s="650">
        <v>17</v>
      </c>
      <c r="G167" s="653" t="s">
        <v>52</v>
      </c>
      <c r="L167" s="654">
        <v>203.16</v>
      </c>
      <c r="M167" s="654" t="s">
        <v>37</v>
      </c>
      <c r="N167" s="208"/>
      <c r="O167" s="655" t="str">
        <f t="array" ref="O167">IFERROR(IF(QCT_metro_or_nonmetro="Metro",INDEX($F$23:$F$748,SMALL(IF((County=$G$23:$G$748),MATCH(ROW($G$23:$G$748),ROW($G$23:$G$748)),""),ROWS($A$23:A167))),INDEX($I$23:$I$52,SMALL(IF((County=$J$23:$J$52),MATCH(ROW($J$23:$J$52),ROW($J$23:$J$52)),""),ROWS($A$23:A167)))),"")</f>
        <v/>
      </c>
      <c r="Q167" s="655" t="str">
        <f t="array" ref="Q167">IFERROR(IF(Geo_Area_of_Opp_boost="Yes",INDEX($L$23:$L$2323,SMALL(IF((County=$M$23:$M$2323),MATCH(ROW($M$23:$M$2323),ROW($M$23:$M$2323)),""),ROWS($A$23:A167))),""),"")</f>
        <v/>
      </c>
    </row>
    <row r="168" spans="1:17" ht="14.4" customHeight="1">
      <c r="A168" s="649">
        <v>34473</v>
      </c>
      <c r="B168" s="650" t="s">
        <v>77</v>
      </c>
      <c r="E168" s="1"/>
      <c r="F168" s="650">
        <v>18</v>
      </c>
      <c r="G168" s="653" t="s">
        <v>52</v>
      </c>
      <c r="L168" s="654">
        <v>203.17</v>
      </c>
      <c r="M168" s="654" t="s">
        <v>37</v>
      </c>
      <c r="N168" s="208"/>
      <c r="O168" s="655" t="str">
        <f t="array" ref="O168">IFERROR(IF(QCT_metro_or_nonmetro="Metro",INDEX($F$23:$F$748,SMALL(IF((County=$G$23:$G$748),MATCH(ROW($G$23:$G$748),ROW($G$23:$G$748)),""),ROWS($A$23:A168))),INDEX($I$23:$I$52,SMALL(IF((County=$J$23:$J$52),MATCH(ROW($J$23:$J$52),ROW($J$23:$J$52)),""),ROWS($A$23:A168)))),"")</f>
        <v/>
      </c>
      <c r="Q168" s="655" t="str">
        <f t="array" ref="Q168">IFERROR(IF(Geo_Area_of_Opp_boost="Yes",INDEX($L$23:$L$2323,SMALL(IF((County=$M$23:$M$2323),MATCH(ROW($M$23:$M$2323),ROW($M$23:$M$2323)),""),ROWS($A$23:A168))),""),"")</f>
        <v/>
      </c>
    </row>
    <row r="169" spans="1:17" ht="14.4" customHeight="1">
      <c r="A169" s="649">
        <v>34474</v>
      </c>
      <c r="B169" s="650" t="s">
        <v>77</v>
      </c>
      <c r="E169" s="1"/>
      <c r="F169" s="650">
        <v>19</v>
      </c>
      <c r="G169" s="653" t="s">
        <v>52</v>
      </c>
      <c r="L169" s="654">
        <v>203.18</v>
      </c>
      <c r="M169" s="654" t="s">
        <v>37</v>
      </c>
      <c r="N169" s="208"/>
      <c r="O169" s="655" t="str">
        <f t="array" ref="O169">IFERROR(IF(QCT_metro_or_nonmetro="Metro",INDEX($F$23:$F$748,SMALL(IF((County=$G$23:$G$748),MATCH(ROW($G$23:$G$748),ROW($G$23:$G$748)),""),ROWS($A$23:A169))),INDEX($I$23:$I$52,SMALL(IF((County=$J$23:$J$52),MATCH(ROW($J$23:$J$52),ROW($J$23:$J$52)),""),ROWS($A$23:A169)))),"")</f>
        <v/>
      </c>
      <c r="Q169" s="655" t="str">
        <f t="array" ref="Q169">IFERROR(IF(Geo_Area_of_Opp_boost="Yes",INDEX($L$23:$L$2323,SMALL(IF((County=$M$23:$M$2323),MATCH(ROW($M$23:$M$2323),ROW($M$23:$M$2323)),""),ROWS($A$23:A169))),""),"")</f>
        <v/>
      </c>
    </row>
    <row r="170" spans="1:17" ht="14.4" customHeight="1">
      <c r="A170" s="649">
        <v>34481</v>
      </c>
      <c r="B170" s="650" t="s">
        <v>77</v>
      </c>
      <c r="E170" s="1"/>
      <c r="F170" s="650">
        <v>20</v>
      </c>
      <c r="G170" s="653" t="s">
        <v>52</v>
      </c>
      <c r="L170" s="654">
        <v>203.19</v>
      </c>
      <c r="M170" s="654" t="s">
        <v>37</v>
      </c>
      <c r="N170" s="208"/>
      <c r="O170" s="655" t="str">
        <f t="array" ref="O170">IFERROR(IF(QCT_metro_or_nonmetro="Metro",INDEX($F$23:$F$748,SMALL(IF((County=$G$23:$G$748),MATCH(ROW($G$23:$G$748),ROW($G$23:$G$748)),""),ROWS($A$23:A170))),INDEX($I$23:$I$52,SMALL(IF((County=$J$23:$J$52),MATCH(ROW($J$23:$J$52),ROW($J$23:$J$52)),""),ROWS($A$23:A170)))),"")</f>
        <v/>
      </c>
      <c r="Q170" s="655" t="str">
        <f t="array" ref="Q170">IFERROR(IF(Geo_Area_of_Opp_boost="Yes",INDEX($L$23:$L$2323,SMALL(IF((County=$M$23:$M$2323),MATCH(ROW($M$23:$M$2323),ROW($M$23:$M$2323)),""),ROWS($A$23:A170))),""),"")</f>
        <v/>
      </c>
    </row>
    <row r="171" spans="1:17" ht="14.4" customHeight="1">
      <c r="A171" s="649">
        <v>34491</v>
      </c>
      <c r="B171" s="650" t="s">
        <v>77</v>
      </c>
      <c r="E171" s="1"/>
      <c r="F171" s="650">
        <v>21</v>
      </c>
      <c r="G171" s="653" t="s">
        <v>52</v>
      </c>
      <c r="L171" s="654">
        <v>203.2</v>
      </c>
      <c r="M171" s="654" t="s">
        <v>37</v>
      </c>
      <c r="N171" s="208"/>
      <c r="O171" s="655" t="str">
        <f t="array" ref="O171">IFERROR(IF(QCT_metro_or_nonmetro="Metro",INDEX($F$23:$F$748,SMALL(IF((County=$G$23:$G$748),MATCH(ROW($G$23:$G$748),ROW($G$23:$G$748)),""),ROWS($A$23:A171))),INDEX($I$23:$I$52,SMALL(IF((County=$J$23:$J$52),MATCH(ROW($J$23:$J$52),ROW($J$23:$J$52)),""),ROWS($A$23:A171)))),"")</f>
        <v/>
      </c>
      <c r="Q171" s="655" t="str">
        <f t="array" ref="Q171">IFERROR(IF(Geo_Area_of_Opp_boost="Yes",INDEX($L$23:$L$2323,SMALL(IF((County=$M$23:$M$2323),MATCH(ROW($M$23:$M$2323),ROW($M$23:$M$2323)),""),ROWS($A$23:A171))),""),"")</f>
        <v/>
      </c>
    </row>
    <row r="172" spans="1:17" ht="14.4" customHeight="1">
      <c r="A172" s="649">
        <v>34990</v>
      </c>
      <c r="B172" s="650" t="s">
        <v>78</v>
      </c>
      <c r="E172" s="1"/>
      <c r="F172" s="650">
        <v>22</v>
      </c>
      <c r="G172" s="653" t="s">
        <v>52</v>
      </c>
      <c r="L172" s="654">
        <v>203.21</v>
      </c>
      <c r="M172" s="654" t="s">
        <v>37</v>
      </c>
      <c r="N172" s="208"/>
      <c r="O172" s="655" t="str">
        <f t="array" ref="O172">IFERROR(IF(QCT_metro_or_nonmetro="Metro",INDEX($F$23:$F$748,SMALL(IF((County=$G$23:$G$748),MATCH(ROW($G$23:$G$748),ROW($G$23:$G$748)),""),ROWS($A$23:A172))),INDEX($I$23:$I$52,SMALL(IF((County=$J$23:$J$52),MATCH(ROW($J$23:$J$52),ROW($J$23:$J$52)),""),ROWS($A$23:A172)))),"")</f>
        <v/>
      </c>
      <c r="Q172" s="655" t="str">
        <f t="array" ref="Q172">IFERROR(IF(Geo_Area_of_Opp_boost="Yes",INDEX($L$23:$L$2323,SMALL(IF((County=$M$23:$M$2323),MATCH(ROW($M$23:$M$2323),ROW($M$23:$M$2323)),""),ROWS($A$23:A172))),""),"")</f>
        <v/>
      </c>
    </row>
    <row r="173" spans="1:17" ht="14.4" customHeight="1">
      <c r="A173" s="649">
        <v>33014</v>
      </c>
      <c r="B173" s="650" t="s">
        <v>79</v>
      </c>
      <c r="E173" s="1"/>
      <c r="F173" s="650">
        <v>27.03</v>
      </c>
      <c r="G173" s="653" t="s">
        <v>52</v>
      </c>
      <c r="L173" s="654">
        <v>203.22</v>
      </c>
      <c r="M173" s="654" t="s">
        <v>37</v>
      </c>
      <c r="N173" s="208"/>
      <c r="O173" s="655" t="str">
        <f t="array" ref="O173">IFERROR(IF(QCT_metro_or_nonmetro="Metro",INDEX($F$23:$F$748,SMALL(IF((County=$G$23:$G$748),MATCH(ROW($G$23:$G$748),ROW($G$23:$G$748)),""),ROWS($A$23:A173))),INDEX($I$23:$I$52,SMALL(IF((County=$J$23:$J$52),MATCH(ROW($J$23:$J$52),ROW($J$23:$J$52)),""),ROWS($A$23:A173)))),"")</f>
        <v/>
      </c>
      <c r="Q173" s="655" t="str">
        <f t="array" ref="Q173">IFERROR(IF(Geo_Area_of_Opp_boost="Yes",INDEX($L$23:$L$2323,SMALL(IF((County=$M$23:$M$2323),MATCH(ROW($M$23:$M$2323),ROW($M$23:$M$2323)),""),ROWS($A$23:A173))),""),"")</f>
        <v/>
      </c>
    </row>
    <row r="174" spans="1:17" ht="14.4" customHeight="1">
      <c r="A174" s="649">
        <v>33015</v>
      </c>
      <c r="B174" s="650" t="s">
        <v>79</v>
      </c>
      <c r="E174" s="1"/>
      <c r="F174" s="650">
        <v>29</v>
      </c>
      <c r="G174" s="653" t="s">
        <v>52</v>
      </c>
      <c r="L174" s="654">
        <v>203.25</v>
      </c>
      <c r="M174" s="654" t="s">
        <v>37</v>
      </c>
      <c r="N174" s="208"/>
      <c r="O174" s="655" t="str">
        <f t="array" ref="O174">IFERROR(IF(QCT_metro_or_nonmetro="Metro",INDEX($F$23:$F$748,SMALL(IF((County=$G$23:$G$748),MATCH(ROW($G$23:$G$748),ROW($G$23:$G$748)),""),ROWS($A$23:A174))),INDEX($I$23:$I$52,SMALL(IF((County=$J$23:$J$52),MATCH(ROW($J$23:$J$52),ROW($J$23:$J$52)),""),ROWS($A$23:A174)))),"")</f>
        <v/>
      </c>
      <c r="Q174" s="655" t="str">
        <f t="array" ref="Q174">IFERROR(IF(Geo_Area_of_Opp_boost="Yes",INDEX($L$23:$L$2323,SMALL(IF((County=$M$23:$M$2323),MATCH(ROW($M$23:$M$2323),ROW($M$23:$M$2323)),""),ROWS($A$23:A174))),""),"")</f>
        <v/>
      </c>
    </row>
    <row r="175" spans="1:17" ht="14.4" customHeight="1">
      <c r="A175" s="649">
        <v>33018</v>
      </c>
      <c r="B175" s="650" t="s">
        <v>79</v>
      </c>
      <c r="E175" s="1"/>
      <c r="F175" s="650">
        <v>35.06</v>
      </c>
      <c r="G175" s="653" t="s">
        <v>52</v>
      </c>
      <c r="L175" s="654">
        <v>203.26</v>
      </c>
      <c r="M175" s="654" t="s">
        <v>37</v>
      </c>
      <c r="N175" s="208"/>
      <c r="O175" s="655" t="str">
        <f t="array" ref="O175">IFERROR(IF(QCT_metro_or_nonmetro="Metro",INDEX($F$23:$F$748,SMALL(IF((County=$G$23:$G$748),MATCH(ROW($G$23:$G$748),ROW($G$23:$G$748)),""),ROWS($A$23:A175))),INDEX($I$23:$I$52,SMALL(IF((County=$J$23:$J$52),MATCH(ROW($J$23:$J$52),ROW($J$23:$J$52)),""),ROWS($A$23:A175)))),"")</f>
        <v/>
      </c>
      <c r="Q175" s="655" t="str">
        <f t="array" ref="Q175">IFERROR(IF(Geo_Area_of_Opp_boost="Yes",INDEX($L$23:$L$2323,SMALL(IF((County=$M$23:$M$2323),MATCH(ROW($M$23:$M$2323),ROW($M$23:$M$2323)),""),ROWS($A$23:A175))),""),"")</f>
        <v/>
      </c>
    </row>
    <row r="176" spans="1:17" ht="14.4" customHeight="1">
      <c r="A176" s="649">
        <v>33031</v>
      </c>
      <c r="B176" s="650" t="s">
        <v>79</v>
      </c>
      <c r="E176" s="1"/>
      <c r="F176" s="650">
        <v>36.07</v>
      </c>
      <c r="G176" s="653" t="s">
        <v>52</v>
      </c>
      <c r="L176" s="654">
        <v>204.06</v>
      </c>
      <c r="M176" s="654" t="s">
        <v>37</v>
      </c>
      <c r="N176" s="208"/>
      <c r="O176" s="655" t="str">
        <f t="array" ref="O176">IFERROR(IF(QCT_metro_or_nonmetro="Metro",INDEX($F$23:$F$748,SMALL(IF((County=$G$23:$G$748),MATCH(ROW($G$23:$G$748),ROW($G$23:$G$748)),""),ROWS($A$23:A176))),INDEX($I$23:$I$52,SMALL(IF((County=$J$23:$J$52),MATCH(ROW($J$23:$J$52),ROW($J$23:$J$52)),""),ROWS($A$23:A176)))),"")</f>
        <v/>
      </c>
      <c r="Q176" s="655" t="str">
        <f t="array" ref="Q176">IFERROR(IF(Geo_Area_of_Opp_boost="Yes",INDEX($L$23:$L$2323,SMALL(IF((County=$M$23:$M$2323),MATCH(ROW($M$23:$M$2323),ROW($M$23:$M$2323)),""),ROWS($A$23:A176))),""),"")</f>
        <v/>
      </c>
    </row>
    <row r="177" spans="1:17" ht="14.4" customHeight="1">
      <c r="A177" s="649">
        <v>33035</v>
      </c>
      <c r="B177" s="650" t="s">
        <v>79</v>
      </c>
      <c r="E177" s="1"/>
      <c r="F177" s="650">
        <v>207.01</v>
      </c>
      <c r="G177" s="653" t="s">
        <v>55</v>
      </c>
      <c r="L177" s="654">
        <v>204.11</v>
      </c>
      <c r="M177" s="654" t="s">
        <v>37</v>
      </c>
      <c r="N177" s="208"/>
      <c r="O177" s="655" t="str">
        <f t="array" ref="O177">IFERROR(IF(QCT_metro_or_nonmetro="Metro",INDEX($F$23:$F$748,SMALL(IF((County=$G$23:$G$748),MATCH(ROW($G$23:$G$748),ROW($G$23:$G$748)),""),ROWS($A$23:A177))),INDEX($I$23:$I$52,SMALL(IF((County=$J$23:$J$52),MATCH(ROW($J$23:$J$52),ROW($J$23:$J$52)),""),ROWS($A$23:A177)))),"")</f>
        <v/>
      </c>
      <c r="Q177" s="655" t="str">
        <f t="array" ref="Q177">IFERROR(IF(Geo_Area_of_Opp_boost="Yes",INDEX($L$23:$L$2323,SMALL(IF((County=$M$23:$M$2323),MATCH(ROW($M$23:$M$2323),ROW($M$23:$M$2323)),""),ROWS($A$23:A177))),""),"")</f>
        <v/>
      </c>
    </row>
    <row r="178" spans="1:17" ht="14.4" customHeight="1">
      <c r="A178" s="649">
        <v>33055</v>
      </c>
      <c r="B178" s="650" t="s">
        <v>79</v>
      </c>
      <c r="E178" s="1"/>
      <c r="F178" s="650">
        <v>207.02</v>
      </c>
      <c r="G178" s="653" t="s">
        <v>55</v>
      </c>
      <c r="L178" s="654">
        <v>204.14</v>
      </c>
      <c r="M178" s="654" t="s">
        <v>37</v>
      </c>
      <c r="N178" s="208"/>
      <c r="O178" s="655" t="str">
        <f t="array" ref="O178">IFERROR(IF(QCT_metro_or_nonmetro="Metro",INDEX($F$23:$F$748,SMALL(IF((County=$G$23:$G$748),MATCH(ROW($G$23:$G$748),ROW($G$23:$G$748)),""),ROWS($A$23:A178))),INDEX($I$23:$I$52,SMALL(IF((County=$J$23:$J$52),MATCH(ROW($J$23:$J$52),ROW($J$23:$J$52)),""),ROWS($A$23:A178)))),"")</f>
        <v/>
      </c>
      <c r="Q178" s="655" t="str">
        <f t="array" ref="Q178">IFERROR(IF(Geo_Area_of_Opp_boost="Yes",INDEX($L$23:$L$2323,SMALL(IF((County=$M$23:$M$2323),MATCH(ROW($M$23:$M$2323),ROW($M$23:$M$2323)),""),ROWS($A$23:A178))),""),"")</f>
        <v/>
      </c>
    </row>
    <row r="179" spans="1:17" ht="14.4" customHeight="1">
      <c r="A179" s="649">
        <v>33109</v>
      </c>
      <c r="B179" s="650" t="s">
        <v>79</v>
      </c>
      <c r="E179" s="1"/>
      <c r="F179" s="650">
        <v>404</v>
      </c>
      <c r="G179" s="653" t="s">
        <v>62</v>
      </c>
      <c r="L179" s="654">
        <v>205.01</v>
      </c>
      <c r="M179" s="654" t="s">
        <v>37</v>
      </c>
      <c r="N179" s="208"/>
      <c r="O179" s="655" t="str">
        <f t="array" ref="O179">IFERROR(IF(QCT_metro_or_nonmetro="Metro",INDEX($F$23:$F$748,SMALL(IF((County=$G$23:$G$748),MATCH(ROW($G$23:$G$748),ROW($G$23:$G$748)),""),ROWS($A$23:A179))),INDEX($I$23:$I$52,SMALL(IF((County=$J$23:$J$52),MATCH(ROW($J$23:$J$52),ROW($J$23:$J$52)),""),ROWS($A$23:A179)))),"")</f>
        <v/>
      </c>
      <c r="Q179" s="655" t="str">
        <f t="array" ref="Q179">IFERROR(IF(Geo_Area_of_Opp_boost="Yes",INDEX($L$23:$L$2323,SMALL(IF((County=$M$23:$M$2323),MATCH(ROW($M$23:$M$2323),ROW($M$23:$M$2323)),""),ROWS($A$23:A179))),""),"")</f>
        <v/>
      </c>
    </row>
    <row r="180" spans="1:17" ht="14.4" customHeight="1">
      <c r="A180" s="649">
        <v>33126</v>
      </c>
      <c r="B180" s="650" t="s">
        <v>79</v>
      </c>
      <c r="E180" s="1"/>
      <c r="F180" s="650">
        <v>405.01</v>
      </c>
      <c r="G180" s="653" t="s">
        <v>62</v>
      </c>
      <c r="L180" s="654">
        <v>301</v>
      </c>
      <c r="M180" s="654" t="s">
        <v>37</v>
      </c>
      <c r="N180" s="208"/>
      <c r="O180" s="655" t="str">
        <f t="array" ref="O180">IFERROR(IF(QCT_metro_or_nonmetro="Metro",INDEX($F$23:$F$748,SMALL(IF((County=$G$23:$G$748),MATCH(ROW($G$23:$G$748),ROW($G$23:$G$748)),""),ROWS($A$23:A180))),INDEX($I$23:$I$52,SMALL(IF((County=$J$23:$J$52),MATCH(ROW($J$23:$J$52),ROW($J$23:$J$52)),""),ROWS($A$23:A180)))),"")</f>
        <v/>
      </c>
      <c r="Q180" s="655" t="str">
        <f t="array" ref="Q180">IFERROR(IF(Geo_Area_of_Opp_boost="Yes",INDEX($L$23:$L$2323,SMALL(IF((County=$M$23:$M$2323),MATCH(ROW($M$23:$M$2323),ROW($M$23:$M$2323)),""),ROWS($A$23:A180))),""),"")</f>
        <v/>
      </c>
    </row>
    <row r="181" spans="1:17" ht="14.4" customHeight="1">
      <c r="A181" s="649">
        <v>33129</v>
      </c>
      <c r="B181" s="650" t="s">
        <v>79</v>
      </c>
      <c r="E181" s="1"/>
      <c r="F181" s="650">
        <v>405.02</v>
      </c>
      <c r="G181" s="653" t="s">
        <v>62</v>
      </c>
      <c r="L181" s="654">
        <v>307.02</v>
      </c>
      <c r="M181" s="654" t="s">
        <v>37</v>
      </c>
      <c r="N181" s="208"/>
      <c r="O181" s="655" t="str">
        <f t="array" ref="O181">IFERROR(IF(QCT_metro_or_nonmetro="Metro",INDEX($F$23:$F$748,SMALL(IF((County=$G$23:$G$748),MATCH(ROW($G$23:$G$748),ROW($G$23:$G$748)),""),ROWS($A$23:A181))),INDEX($I$23:$I$52,SMALL(IF((County=$J$23:$J$52),MATCH(ROW($J$23:$J$52),ROW($J$23:$J$52)),""),ROWS($A$23:A181)))),"")</f>
        <v/>
      </c>
      <c r="Q181" s="655" t="str">
        <f t="array" ref="Q181">IFERROR(IF(Geo_Area_of_Opp_boost="Yes",INDEX($L$23:$L$2323,SMALL(IF((County=$M$23:$M$2323),MATCH(ROW($M$23:$M$2323),ROW($M$23:$M$2323)),""),ROWS($A$23:A181))),""),"")</f>
        <v/>
      </c>
    </row>
    <row r="182" spans="1:17" ht="14.4" customHeight="1">
      <c r="A182" s="649">
        <v>33131</v>
      </c>
      <c r="B182" s="650" t="s">
        <v>79</v>
      </c>
      <c r="E182" s="1"/>
      <c r="F182" s="650">
        <v>412.04</v>
      </c>
      <c r="G182" s="653" t="s">
        <v>62</v>
      </c>
      <c r="L182" s="654">
        <v>307.04000000000002</v>
      </c>
      <c r="M182" s="654" t="s">
        <v>37</v>
      </c>
      <c r="N182" s="208"/>
      <c r="O182" s="208"/>
      <c r="Q182" s="655" t="str">
        <f t="array" ref="Q182">IFERROR(IF(Geo_Area_of_Opp_boost="Yes",INDEX($L$23:$L$2323,SMALL(IF((County=$M$23:$M$2323),MATCH(ROW($M$23:$M$2323),ROW($M$23:$M$2323)),""),ROWS($A$23:A182))),""),"")</f>
        <v/>
      </c>
    </row>
    <row r="183" spans="1:17" ht="14.4" customHeight="1">
      <c r="A183" s="649">
        <v>33132</v>
      </c>
      <c r="B183" s="650" t="s">
        <v>79</v>
      </c>
      <c r="E183" s="1"/>
      <c r="F183" s="650">
        <v>414.01</v>
      </c>
      <c r="G183" s="653" t="s">
        <v>62</v>
      </c>
      <c r="L183" s="654">
        <v>309.02</v>
      </c>
      <c r="M183" s="654" t="s">
        <v>37</v>
      </c>
      <c r="N183" s="208"/>
      <c r="O183" s="208"/>
      <c r="Q183" s="655" t="str">
        <f t="array" ref="Q183">IFERROR(IF(Geo_Area_of_Opp_boost="Yes",INDEX($L$23:$L$2323,SMALL(IF((County=$M$23:$M$2323),MATCH(ROW($M$23:$M$2323),ROW($M$23:$M$2323)),""),ROWS($A$23:A183))),""),"")</f>
        <v/>
      </c>
    </row>
    <row r="184" spans="1:17" ht="14.4" customHeight="1">
      <c r="A184" s="649">
        <v>33133</v>
      </c>
      <c r="B184" s="650" t="s">
        <v>79</v>
      </c>
      <c r="E184" s="1"/>
      <c r="F184" s="650">
        <v>9603</v>
      </c>
      <c r="G184" s="653" t="s">
        <v>63</v>
      </c>
      <c r="L184" s="654">
        <v>309.04000000000002</v>
      </c>
      <c r="M184" s="654" t="s">
        <v>37</v>
      </c>
      <c r="N184" s="208"/>
      <c r="O184" s="208"/>
      <c r="Q184" s="655" t="str">
        <f t="array" ref="Q184">IFERROR(IF(Geo_Area_of_Opp_boost="Yes",INDEX($L$23:$L$2323,SMALL(IF((County=$M$23:$M$2323),MATCH(ROW($M$23:$M$2323),ROW($M$23:$M$2323)),""),ROWS($A$23:A184))),""),"")</f>
        <v/>
      </c>
    </row>
    <row r="185" spans="1:17" ht="14.4" customHeight="1">
      <c r="A185" s="649">
        <v>33134</v>
      </c>
      <c r="B185" s="650" t="s">
        <v>79</v>
      </c>
      <c r="E185" s="1"/>
      <c r="F185" s="650">
        <v>9608</v>
      </c>
      <c r="G185" s="653" t="s">
        <v>63</v>
      </c>
      <c r="L185" s="654">
        <v>310.02</v>
      </c>
      <c r="M185" s="654" t="s">
        <v>37</v>
      </c>
      <c r="N185" s="208"/>
      <c r="O185" s="208"/>
      <c r="Q185" s="655" t="str">
        <f t="array" ref="Q185">IFERROR(IF(Geo_Area_of_Opp_boost="Yes",INDEX($L$23:$L$2323,SMALL(IF((County=$M$23:$M$2323),MATCH(ROW($M$23:$M$2323),ROW($M$23:$M$2323)),""),ROWS($A$23:A185))),""),"")</f>
        <v/>
      </c>
    </row>
    <row r="186" spans="1:17">
      <c r="A186" s="649">
        <v>33137</v>
      </c>
      <c r="B186" s="650" t="s">
        <v>79</v>
      </c>
      <c r="E186" s="1"/>
      <c r="F186" s="650">
        <v>9609</v>
      </c>
      <c r="G186" s="653" t="s">
        <v>63</v>
      </c>
      <c r="L186" s="654">
        <v>311.01</v>
      </c>
      <c r="M186" s="654" t="s">
        <v>37</v>
      </c>
      <c r="N186" s="208"/>
      <c r="O186" s="208"/>
      <c r="Q186" s="655" t="str">
        <f t="array" ref="Q186">IFERROR(IF(Geo_Area_of_Opp_boost="Yes",INDEX($L$23:$L$2323,SMALL(IF((County=$M$23:$M$2323),MATCH(ROW($M$23:$M$2323),ROW($M$23:$M$2323)),""),ROWS($A$23:A186))),""),"")</f>
        <v/>
      </c>
    </row>
    <row r="187" spans="1:17">
      <c r="A187" s="649">
        <v>33139</v>
      </c>
      <c r="B187" s="650" t="s">
        <v>79</v>
      </c>
      <c r="E187" s="1"/>
      <c r="F187" s="650">
        <v>9611</v>
      </c>
      <c r="G187" s="653" t="s">
        <v>63</v>
      </c>
      <c r="L187" s="654">
        <v>311.02</v>
      </c>
      <c r="M187" s="654" t="s">
        <v>37</v>
      </c>
      <c r="N187" s="208"/>
      <c r="O187" s="208"/>
      <c r="Q187" s="655" t="str">
        <f t="array" ref="Q187">IFERROR(IF(Geo_Area_of_Opp_boost="Yes",INDEX($L$23:$L$2323,SMALL(IF((County=$M$23:$M$2323),MATCH(ROW($M$23:$M$2323),ROW($M$23:$M$2323)),""),ROWS($A$23:A187))),""),"")</f>
        <v/>
      </c>
    </row>
    <row r="188" spans="1:17">
      <c r="A188" s="649">
        <v>33140</v>
      </c>
      <c r="B188" s="650" t="s">
        <v>79</v>
      </c>
      <c r="E188" s="1"/>
      <c r="F188" s="650">
        <v>9616.0300000000007</v>
      </c>
      <c r="G188" s="653" t="s">
        <v>63</v>
      </c>
      <c r="L188" s="654">
        <v>312.02</v>
      </c>
      <c r="M188" s="654" t="s">
        <v>37</v>
      </c>
      <c r="N188" s="208"/>
      <c r="O188" s="208"/>
      <c r="Q188" s="655" t="str">
        <f t="array" ref="Q188">IFERROR(IF(Geo_Area_of_Opp_boost="Yes",INDEX($L$23:$L$2323,SMALL(IF((County=$M$23:$M$2323),MATCH(ROW($M$23:$M$2323),ROW($M$23:$M$2323)),""),ROWS($A$23:A188))),""),"")</f>
        <v/>
      </c>
    </row>
    <row r="189" spans="1:17">
      <c r="A189" s="649">
        <v>33141</v>
      </c>
      <c r="B189" s="650" t="s">
        <v>79</v>
      </c>
      <c r="E189" s="1"/>
      <c r="F189" s="650">
        <v>1.01</v>
      </c>
      <c r="G189" s="653" t="s">
        <v>64</v>
      </c>
      <c r="L189" s="654">
        <v>312.02999999999997</v>
      </c>
      <c r="M189" s="654" t="s">
        <v>37</v>
      </c>
      <c r="N189" s="208"/>
      <c r="O189" s="208"/>
      <c r="Q189" s="655" t="str">
        <f t="array" ref="Q189">IFERROR(IF(Geo_Area_of_Opp_boost="Yes",INDEX($L$23:$L$2323,SMALL(IF((County=$M$23:$M$2323),MATCH(ROW($M$23:$M$2323),ROW($M$23:$M$2323)),""),ROWS($A$23:A189))),""),"")</f>
        <v/>
      </c>
    </row>
    <row r="190" spans="1:17">
      <c r="A190" s="649">
        <v>33143</v>
      </c>
      <c r="B190" s="650" t="s">
        <v>79</v>
      </c>
      <c r="E190" s="1"/>
      <c r="F190" s="650">
        <v>1.02</v>
      </c>
      <c r="G190" s="653" t="s">
        <v>64</v>
      </c>
      <c r="L190" s="654">
        <v>312.05</v>
      </c>
      <c r="M190" s="654" t="s">
        <v>37</v>
      </c>
      <c r="N190" s="208"/>
      <c r="O190" s="208"/>
      <c r="Q190" s="655" t="str">
        <f t="array" ref="Q190">IFERROR(IF(Geo_Area_of_Opp_boost="Yes",INDEX($L$23:$L$2323,SMALL(IF((County=$M$23:$M$2323),MATCH(ROW($M$23:$M$2323),ROW($M$23:$M$2323)),""),ROWS($A$23:A190))),""),"")</f>
        <v/>
      </c>
    </row>
    <row r="191" spans="1:17">
      <c r="A191" s="649">
        <v>33145</v>
      </c>
      <c r="B191" s="650" t="s">
        <v>79</v>
      </c>
      <c r="E191" s="1"/>
      <c r="F191" s="650">
        <v>2.0099999999999998</v>
      </c>
      <c r="G191" s="653" t="s">
        <v>64</v>
      </c>
      <c r="L191" s="654">
        <v>401.01</v>
      </c>
      <c r="M191" s="654" t="s">
        <v>37</v>
      </c>
      <c r="N191" s="208"/>
      <c r="O191" s="208"/>
      <c r="Q191" s="655" t="str">
        <f t="array" ref="Q191">IFERROR(IF(Geo_Area_of_Opp_boost="Yes",INDEX($L$23:$L$2323,SMALL(IF((County=$M$23:$M$2323),MATCH(ROW($M$23:$M$2323),ROW($M$23:$M$2323)),""),ROWS($A$23:A191))),""),"")</f>
        <v/>
      </c>
    </row>
    <row r="192" spans="1:17">
      <c r="A192" s="649">
        <v>33146</v>
      </c>
      <c r="B192" s="650" t="s">
        <v>79</v>
      </c>
      <c r="E192" s="1"/>
      <c r="F192" s="650">
        <v>2.02</v>
      </c>
      <c r="G192" s="653" t="s">
        <v>64</v>
      </c>
      <c r="L192" s="654">
        <v>401.02</v>
      </c>
      <c r="M192" s="654" t="s">
        <v>37</v>
      </c>
      <c r="N192" s="208"/>
      <c r="O192" s="208"/>
      <c r="Q192" s="655" t="str">
        <f t="array" ref="Q192">IFERROR(IF(Geo_Area_of_Opp_boost="Yes",INDEX($L$23:$L$2323,SMALL(IF((County=$M$23:$M$2323),MATCH(ROW($M$23:$M$2323),ROW($M$23:$M$2323)),""),ROWS($A$23:A192))),""),"")</f>
        <v/>
      </c>
    </row>
    <row r="193" spans="1:17">
      <c r="A193" s="649">
        <v>33149</v>
      </c>
      <c r="B193" s="650" t="s">
        <v>79</v>
      </c>
      <c r="E193" s="1"/>
      <c r="F193" s="650">
        <v>3</v>
      </c>
      <c r="G193" s="653" t="s">
        <v>64</v>
      </c>
      <c r="L193" s="654">
        <v>402.03</v>
      </c>
      <c r="M193" s="654" t="s">
        <v>37</v>
      </c>
      <c r="N193" s="208"/>
      <c r="O193" s="208"/>
      <c r="Q193" s="655" t="str">
        <f t="array" ref="Q193">IFERROR(IF(Geo_Area_of_Opp_boost="Yes",INDEX($L$23:$L$2323,SMALL(IF((County=$M$23:$M$2323),MATCH(ROW($M$23:$M$2323),ROW($M$23:$M$2323)),""),ROWS($A$23:A193))),""),"")</f>
        <v/>
      </c>
    </row>
    <row r="194" spans="1:17">
      <c r="A194" s="649">
        <v>33154</v>
      </c>
      <c r="B194" s="650" t="s">
        <v>79</v>
      </c>
      <c r="E194" s="1"/>
      <c r="F194" s="650">
        <v>4.0199999999999996</v>
      </c>
      <c r="G194" s="653" t="s">
        <v>64</v>
      </c>
      <c r="L194" s="654">
        <v>402.04</v>
      </c>
      <c r="M194" s="654" t="s">
        <v>37</v>
      </c>
      <c r="N194" s="208"/>
      <c r="O194" s="208"/>
      <c r="Q194" s="655" t="str">
        <f t="array" ref="Q194">IFERROR(IF(Geo_Area_of_Opp_boost="Yes",INDEX($L$23:$L$2323,SMALL(IF((County=$M$23:$M$2323),MATCH(ROW($M$23:$M$2323),ROW($M$23:$M$2323)),""),ROWS($A$23:A194))),""),"")</f>
        <v/>
      </c>
    </row>
    <row r="195" spans="1:17">
      <c r="A195" s="649">
        <v>33155</v>
      </c>
      <c r="B195" s="650" t="s">
        <v>79</v>
      </c>
      <c r="E195" s="1"/>
      <c r="F195" s="650">
        <v>6.01</v>
      </c>
      <c r="G195" s="653" t="s">
        <v>64</v>
      </c>
      <c r="L195" s="654">
        <v>402.05</v>
      </c>
      <c r="M195" s="654" t="s">
        <v>37</v>
      </c>
      <c r="N195" s="208"/>
      <c r="O195" s="208"/>
      <c r="Q195" s="655" t="str">
        <f t="array" ref="Q195">IFERROR(IF(Geo_Area_of_Opp_boost="Yes",INDEX($L$23:$L$2323,SMALL(IF((County=$M$23:$M$2323),MATCH(ROW($M$23:$M$2323),ROW($M$23:$M$2323)),""),ROWS($A$23:A195))),""),"")</f>
        <v/>
      </c>
    </row>
    <row r="196" spans="1:17">
      <c r="A196" s="649">
        <v>33156</v>
      </c>
      <c r="B196" s="650" t="s">
        <v>79</v>
      </c>
      <c r="E196" s="1"/>
      <c r="F196" s="650">
        <v>6.02</v>
      </c>
      <c r="G196" s="653" t="s">
        <v>64</v>
      </c>
      <c r="L196" s="654">
        <v>402.06</v>
      </c>
      <c r="M196" s="654" t="s">
        <v>37</v>
      </c>
      <c r="N196" s="208"/>
      <c r="O196" s="208"/>
      <c r="Q196" s="655" t="str">
        <f t="array" ref="Q196">IFERROR(IF(Geo_Area_of_Opp_boost="Yes",INDEX($L$23:$L$2323,SMALL(IF((County=$M$23:$M$2323),MATCH(ROW($M$23:$M$2323),ROW($M$23:$M$2323)),""),ROWS($A$23:A196))),""),"")</f>
        <v/>
      </c>
    </row>
    <row r="197" spans="1:17">
      <c r="A197" s="649">
        <v>33158</v>
      </c>
      <c r="B197" s="650" t="s">
        <v>79</v>
      </c>
      <c r="E197" s="1"/>
      <c r="F197" s="650">
        <v>7</v>
      </c>
      <c r="G197" s="653" t="s">
        <v>64</v>
      </c>
      <c r="L197" s="654">
        <v>404.01</v>
      </c>
      <c r="M197" s="654" t="s">
        <v>37</v>
      </c>
      <c r="N197" s="208"/>
      <c r="O197" s="208"/>
      <c r="Q197" s="655" t="str">
        <f t="array" ref="Q197">IFERROR(IF(Geo_Area_of_Opp_boost="Yes",INDEX($L$23:$L$2323,SMALL(IF((County=$M$23:$M$2323),MATCH(ROW($M$23:$M$2323),ROW($M$23:$M$2323)),""),ROWS($A$23:A197))),""),"")</f>
        <v/>
      </c>
    </row>
    <row r="198" spans="1:17">
      <c r="A198" s="649">
        <v>33160</v>
      </c>
      <c r="B198" s="650" t="s">
        <v>79</v>
      </c>
      <c r="E198" s="1"/>
      <c r="F198" s="650">
        <v>8</v>
      </c>
      <c r="G198" s="653" t="s">
        <v>64</v>
      </c>
      <c r="L198" s="654">
        <v>404.02</v>
      </c>
      <c r="M198" s="654" t="s">
        <v>37</v>
      </c>
      <c r="N198" s="208"/>
      <c r="O198" s="208"/>
      <c r="Q198" s="655" t="str">
        <f t="array" ref="Q198">IFERROR(IF(Geo_Area_of_Opp_boost="Yes",INDEX($L$23:$L$2323,SMALL(IF((County=$M$23:$M$2323),MATCH(ROW($M$23:$M$2323),ROW($M$23:$M$2323)),""),ROWS($A$23:A198))),""),"")</f>
        <v/>
      </c>
    </row>
    <row r="199" spans="1:17">
      <c r="A199" s="649">
        <v>33165</v>
      </c>
      <c r="B199" s="650" t="s">
        <v>79</v>
      </c>
      <c r="E199" s="1"/>
      <c r="F199" s="650">
        <v>9.01</v>
      </c>
      <c r="G199" s="653" t="s">
        <v>64</v>
      </c>
      <c r="L199" s="654">
        <v>405.02</v>
      </c>
      <c r="M199" s="654" t="s">
        <v>37</v>
      </c>
      <c r="Q199" s="655" t="str">
        <f t="array" ref="Q199">IFERROR(IF(Geo_Area_of_Opp_boost="Yes",INDEX($L$23:$L$2323,SMALL(IF((County=$M$23:$M$2323),MATCH(ROW($M$23:$M$2323),ROW($M$23:$M$2323)),""),ROWS($A$23:A199))),""),"")</f>
        <v/>
      </c>
    </row>
    <row r="200" spans="1:17">
      <c r="A200" s="649">
        <v>33172</v>
      </c>
      <c r="B200" s="650" t="s">
        <v>79</v>
      </c>
      <c r="E200" s="1"/>
      <c r="F200" s="650">
        <v>9.02</v>
      </c>
      <c r="G200" s="653" t="s">
        <v>64</v>
      </c>
      <c r="L200" s="654">
        <v>405.03</v>
      </c>
      <c r="M200" s="654" t="s">
        <v>37</v>
      </c>
      <c r="Q200" s="655" t="str">
        <f t="array" ref="Q200">IFERROR(IF(Geo_Area_of_Opp_boost="Yes",INDEX($L$23:$L$2323,SMALL(IF((County=$M$23:$M$2323),MATCH(ROW($M$23:$M$2323),ROW($M$23:$M$2323)),""),ROWS($A$23:A200))),""),"")</f>
        <v/>
      </c>
    </row>
    <row r="201" spans="1:17">
      <c r="A201" s="649">
        <v>33173</v>
      </c>
      <c r="B201" s="650" t="s">
        <v>79</v>
      </c>
      <c r="E201" s="1"/>
      <c r="F201" s="650">
        <v>10.01</v>
      </c>
      <c r="G201" s="653" t="s">
        <v>64</v>
      </c>
      <c r="L201" s="654">
        <v>405.04</v>
      </c>
      <c r="M201" s="654" t="s">
        <v>37</v>
      </c>
      <c r="Q201" s="655" t="str">
        <f t="array" ref="Q201">IFERROR(IF(Geo_Area_of_Opp_boost="Yes",INDEX($L$23:$L$2323,SMALL(IF((County=$M$23:$M$2323),MATCH(ROW($M$23:$M$2323),ROW($M$23:$M$2323)),""),ROWS($A$23:A201))),""),"")</f>
        <v/>
      </c>
    </row>
    <row r="202" spans="1:17">
      <c r="A202" s="649">
        <v>33175</v>
      </c>
      <c r="B202" s="650" t="s">
        <v>79</v>
      </c>
      <c r="E202" s="1"/>
      <c r="F202" s="650">
        <v>10.02</v>
      </c>
      <c r="G202" s="653" t="s">
        <v>64</v>
      </c>
      <c r="L202" s="654">
        <v>406.01</v>
      </c>
      <c r="M202" s="654" t="s">
        <v>37</v>
      </c>
      <c r="Q202" s="655" t="str">
        <f t="array" ref="Q202">IFERROR(IF(Geo_Area_of_Opp_boost="Yes",INDEX($L$23:$L$2323,SMALL(IF((County=$M$23:$M$2323),MATCH(ROW($M$23:$M$2323),ROW($M$23:$M$2323)),""),ROWS($A$23:A202))),""),"")</f>
        <v/>
      </c>
    </row>
    <row r="203" spans="1:17">
      <c r="A203" s="649">
        <v>33176</v>
      </c>
      <c r="B203" s="650" t="s">
        <v>79</v>
      </c>
      <c r="E203" s="1"/>
      <c r="F203" s="650">
        <v>12</v>
      </c>
      <c r="G203" s="653" t="s">
        <v>64</v>
      </c>
      <c r="L203" s="654">
        <v>406.02</v>
      </c>
      <c r="M203" s="654" t="s">
        <v>37</v>
      </c>
      <c r="Q203" s="655" t="str">
        <f t="array" ref="Q203">IFERROR(IF(Geo_Area_of_Opp_boost="Yes",INDEX($L$23:$L$2323,SMALL(IF((County=$M$23:$M$2323),MATCH(ROW($M$23:$M$2323),ROW($M$23:$M$2323)),""),ROWS($A$23:A203))),""),"")</f>
        <v/>
      </c>
    </row>
    <row r="204" spans="1:17">
      <c r="A204" s="649">
        <v>33178</v>
      </c>
      <c r="B204" s="650" t="s">
        <v>79</v>
      </c>
      <c r="E204" s="1"/>
      <c r="F204" s="650">
        <v>14</v>
      </c>
      <c r="G204" s="653" t="s">
        <v>64</v>
      </c>
      <c r="L204" s="654">
        <v>407.01</v>
      </c>
      <c r="M204" s="654" t="s">
        <v>37</v>
      </c>
      <c r="Q204" s="655" t="str">
        <f t="array" ref="Q204">IFERROR(IF(Geo_Area_of_Opp_boost="Yes",INDEX($L$23:$L$2323,SMALL(IF((County=$M$23:$M$2323),MATCH(ROW($M$23:$M$2323),ROW($M$23:$M$2323)),""),ROWS($A$23:A204))),""),"")</f>
        <v/>
      </c>
    </row>
    <row r="205" spans="1:17">
      <c r="A205" s="649">
        <v>33180</v>
      </c>
      <c r="B205" s="650" t="s">
        <v>79</v>
      </c>
      <c r="E205" s="1"/>
      <c r="F205" s="650">
        <v>18</v>
      </c>
      <c r="G205" s="653" t="s">
        <v>64</v>
      </c>
      <c r="L205" s="654">
        <v>407.02</v>
      </c>
      <c r="M205" s="654" t="s">
        <v>37</v>
      </c>
      <c r="Q205" s="655" t="str">
        <f t="array" ref="Q205">IFERROR(IF(Geo_Area_of_Opp_boost="Yes",INDEX($L$23:$L$2323,SMALL(IF((County=$M$23:$M$2323),MATCH(ROW($M$23:$M$2323),ROW($M$23:$M$2323)),""),ROWS($A$23:A205))),""),"")</f>
        <v/>
      </c>
    </row>
    <row r="206" spans="1:17">
      <c r="A206" s="649">
        <v>33182</v>
      </c>
      <c r="B206" s="650" t="s">
        <v>79</v>
      </c>
      <c r="E206" s="1"/>
      <c r="F206" s="650">
        <v>19</v>
      </c>
      <c r="G206" s="653" t="s">
        <v>64</v>
      </c>
      <c r="L206" s="654">
        <v>418.01</v>
      </c>
      <c r="M206" s="654" t="s">
        <v>37</v>
      </c>
      <c r="Q206" s="655" t="str">
        <f t="array" ref="Q206">IFERROR(IF(Geo_Area_of_Opp_boost="Yes",INDEX($L$23:$L$2323,SMALL(IF((County=$M$23:$M$2323),MATCH(ROW($M$23:$M$2323),ROW($M$23:$M$2323)),""),ROWS($A$23:A206))),""),"")</f>
        <v/>
      </c>
    </row>
    <row r="207" spans="1:17">
      <c r="A207" s="649">
        <v>33183</v>
      </c>
      <c r="B207" s="650" t="s">
        <v>79</v>
      </c>
      <c r="E207" s="1"/>
      <c r="F207" s="650">
        <v>20</v>
      </c>
      <c r="G207" s="653" t="s">
        <v>64</v>
      </c>
      <c r="L207" s="654">
        <v>418.02</v>
      </c>
      <c r="M207" s="654" t="s">
        <v>37</v>
      </c>
      <c r="Q207" s="655" t="str">
        <f t="array" ref="Q207">IFERROR(IF(Geo_Area_of_Opp_boost="Yes",INDEX($L$23:$L$2323,SMALL(IF((County=$M$23:$M$2323),MATCH(ROW($M$23:$M$2323),ROW($M$23:$M$2323)),""),ROWS($A$23:A207))),""),"")</f>
        <v/>
      </c>
    </row>
    <row r="208" spans="1:17">
      <c r="A208" s="649">
        <v>33184</v>
      </c>
      <c r="B208" s="650" t="s">
        <v>79</v>
      </c>
      <c r="E208" s="1"/>
      <c r="F208" s="650">
        <v>25</v>
      </c>
      <c r="G208" s="653" t="s">
        <v>64</v>
      </c>
      <c r="L208" s="654">
        <v>419</v>
      </c>
      <c r="M208" s="654" t="s">
        <v>37</v>
      </c>
      <c r="Q208" s="655" t="str">
        <f t="array" ref="Q208">IFERROR(IF(Geo_Area_of_Opp_boost="Yes",INDEX($L$23:$L$2323,SMALL(IF((County=$M$23:$M$2323),MATCH(ROW($M$23:$M$2323),ROW($M$23:$M$2323)),""),ROWS($A$23:A208))),""),"")</f>
        <v/>
      </c>
    </row>
    <row r="209" spans="1:17">
      <c r="A209" s="649">
        <v>33185</v>
      </c>
      <c r="B209" s="650" t="s">
        <v>79</v>
      </c>
      <c r="E209" s="1"/>
      <c r="F209" s="650">
        <v>26</v>
      </c>
      <c r="G209" s="653" t="s">
        <v>64</v>
      </c>
      <c r="L209" s="654">
        <v>420</v>
      </c>
      <c r="M209" s="654" t="s">
        <v>37</v>
      </c>
      <c r="Q209" s="655" t="str">
        <f t="array" ref="Q209">IFERROR(IF(Geo_Area_of_Opp_boost="Yes",INDEX($L$23:$L$2323,SMALL(IF((County=$M$23:$M$2323),MATCH(ROW($M$23:$M$2323),ROW($M$23:$M$2323)),""),ROWS($A$23:A209))),""),"")</f>
        <v/>
      </c>
    </row>
    <row r="210" spans="1:17">
      <c r="A210" s="649">
        <v>33186</v>
      </c>
      <c r="B210" s="650" t="s">
        <v>79</v>
      </c>
      <c r="E210" s="1"/>
      <c r="F210" s="650">
        <v>30</v>
      </c>
      <c r="G210" s="653" t="s">
        <v>64</v>
      </c>
      <c r="L210" s="654">
        <v>421</v>
      </c>
      <c r="M210" s="654" t="s">
        <v>37</v>
      </c>
      <c r="Q210" s="655" t="str">
        <f t="array" ref="Q210">IFERROR(IF(Geo_Area_of_Opp_boost="Yes",INDEX($L$23:$L$2323,SMALL(IF((County=$M$23:$M$2323),MATCH(ROW($M$23:$M$2323),ROW($M$23:$M$2323)),""),ROWS($A$23:A210))),""),"")</f>
        <v/>
      </c>
    </row>
    <row r="211" spans="1:17">
      <c r="A211" s="649">
        <v>33187</v>
      </c>
      <c r="B211" s="650" t="s">
        <v>79</v>
      </c>
      <c r="E211" s="1"/>
      <c r="F211" s="650">
        <v>31</v>
      </c>
      <c r="G211" s="653" t="s">
        <v>64</v>
      </c>
      <c r="L211" s="654">
        <v>422</v>
      </c>
      <c r="M211" s="654" t="s">
        <v>37</v>
      </c>
      <c r="Q211" s="655" t="str">
        <f t="array" ref="Q211">IFERROR(IF(Geo_Area_of_Opp_boost="Yes",INDEX($L$23:$L$2323,SMALL(IF((County=$M$23:$M$2323),MATCH(ROW($M$23:$M$2323),ROW($M$23:$M$2323)),""),ROWS($A$23:A211))),""),"")</f>
        <v/>
      </c>
    </row>
    <row r="212" spans="1:17">
      <c r="A212" s="649">
        <v>33193</v>
      </c>
      <c r="B212" s="650" t="s">
        <v>79</v>
      </c>
      <c r="E212" s="1"/>
      <c r="F212" s="650">
        <v>32</v>
      </c>
      <c r="G212" s="653" t="s">
        <v>64</v>
      </c>
      <c r="L212" s="654">
        <v>423.01</v>
      </c>
      <c r="M212" s="654" t="s">
        <v>37</v>
      </c>
      <c r="Q212" s="655" t="str">
        <f t="array" ref="Q212">IFERROR(IF(Geo_Area_of_Opp_boost="Yes",INDEX($L$23:$L$2323,SMALL(IF((County=$M$23:$M$2323),MATCH(ROW($M$23:$M$2323),ROW($M$23:$M$2323)),""),ROWS($A$23:A212))),""),"")</f>
        <v/>
      </c>
    </row>
    <row r="213" spans="1:17">
      <c r="A213" s="649">
        <v>33194</v>
      </c>
      <c r="B213" s="650" t="s">
        <v>79</v>
      </c>
      <c r="E213" s="1"/>
      <c r="F213" s="650">
        <v>33</v>
      </c>
      <c r="G213" s="653" t="s">
        <v>64</v>
      </c>
      <c r="L213" s="654">
        <v>424</v>
      </c>
      <c r="M213" s="654" t="s">
        <v>37</v>
      </c>
      <c r="Q213" s="655" t="str">
        <f t="array" ref="Q213">IFERROR(IF(Geo_Area_of_Opp_boost="Yes",INDEX($L$23:$L$2323,SMALL(IF((County=$M$23:$M$2323),MATCH(ROW($M$23:$M$2323),ROW($M$23:$M$2323)),""),ROWS($A$23:A213))),""),"")</f>
        <v/>
      </c>
    </row>
    <row r="214" spans="1:17">
      <c r="A214" s="649">
        <v>33196</v>
      </c>
      <c r="B214" s="650" t="s">
        <v>79</v>
      </c>
      <c r="E214" s="1"/>
      <c r="F214" s="650">
        <v>34</v>
      </c>
      <c r="G214" s="653" t="s">
        <v>64</v>
      </c>
      <c r="L214" s="654">
        <v>425</v>
      </c>
      <c r="M214" s="654" t="s">
        <v>37</v>
      </c>
      <c r="Q214" s="655" t="str">
        <f t="array" ref="Q214">IFERROR(IF(Geo_Area_of_Opp_boost="Yes",INDEX($L$23:$L$2323,SMALL(IF((County=$M$23:$M$2323),MATCH(ROW($M$23:$M$2323),ROW($M$23:$M$2323)),""),ROWS($A$23:A214))),""),"")</f>
        <v/>
      </c>
    </row>
    <row r="215" spans="1:17">
      <c r="A215" s="649">
        <v>32541</v>
      </c>
      <c r="B215" s="650" t="s">
        <v>84</v>
      </c>
      <c r="E215" s="1"/>
      <c r="F215" s="650">
        <v>35</v>
      </c>
      <c r="G215" s="653" t="s">
        <v>64</v>
      </c>
      <c r="L215" s="654">
        <v>426</v>
      </c>
      <c r="M215" s="654" t="s">
        <v>37</v>
      </c>
      <c r="Q215" s="655" t="str">
        <f t="array" ref="Q215">IFERROR(IF(Geo_Area_of_Opp_boost="Yes",INDEX($L$23:$L$2323,SMALL(IF((County=$M$23:$M$2323),MATCH(ROW($M$23:$M$2323),ROW($M$23:$M$2323)),""),ROWS($A$23:A215))),""),"")</f>
        <v/>
      </c>
    </row>
    <row r="216" spans="1:17">
      <c r="A216" s="649">
        <v>32542</v>
      </c>
      <c r="B216" s="650" t="s">
        <v>84</v>
      </c>
      <c r="E216" s="1"/>
      <c r="F216" s="650">
        <v>36</v>
      </c>
      <c r="G216" s="653" t="s">
        <v>64</v>
      </c>
      <c r="L216" s="654">
        <v>430.01</v>
      </c>
      <c r="M216" s="654" t="s">
        <v>37</v>
      </c>
      <c r="Q216" s="655" t="str">
        <f t="array" ref="Q216">IFERROR(IF(Geo_Area_of_Opp_boost="Yes",INDEX($L$23:$L$2323,SMALL(IF((County=$M$23:$M$2323),MATCH(ROW($M$23:$M$2323),ROW($M$23:$M$2323)),""),ROWS($A$23:A216))),""),"")</f>
        <v/>
      </c>
    </row>
    <row r="217" spans="1:17">
      <c r="A217" s="649">
        <v>32544</v>
      </c>
      <c r="B217" s="650" t="s">
        <v>84</v>
      </c>
      <c r="E217" s="1"/>
      <c r="F217" s="650">
        <v>37</v>
      </c>
      <c r="G217" s="653" t="s">
        <v>64</v>
      </c>
      <c r="L217" s="654">
        <v>431</v>
      </c>
      <c r="M217" s="654" t="s">
        <v>37</v>
      </c>
      <c r="Q217" s="655" t="str">
        <f t="array" ref="Q217">IFERROR(IF(Geo_Area_of_Opp_boost="Yes",INDEX($L$23:$L$2323,SMALL(IF((County=$M$23:$M$2323),MATCH(ROW($M$23:$M$2323),ROW($M$23:$M$2323)),""),ROWS($A$23:A217))),""),"")</f>
        <v/>
      </c>
    </row>
    <row r="218" spans="1:17">
      <c r="A218" s="649">
        <v>32712</v>
      </c>
      <c r="B218" s="650" t="s">
        <v>86</v>
      </c>
      <c r="E218" s="1"/>
      <c r="F218" s="650">
        <v>38</v>
      </c>
      <c r="G218" s="653" t="s">
        <v>64</v>
      </c>
      <c r="L218" s="654">
        <v>433.01</v>
      </c>
      <c r="M218" s="654" t="s">
        <v>37</v>
      </c>
      <c r="Q218" s="655" t="str">
        <f t="array" ref="Q218">IFERROR(IF(Geo_Area_of_Opp_boost="Yes",INDEX($L$23:$L$2323,SMALL(IF((County=$M$23:$M$2323),MATCH(ROW($M$23:$M$2323),ROW($M$23:$M$2323)),""),ROWS($A$23:A218))),""),"")</f>
        <v/>
      </c>
    </row>
    <row r="219" spans="1:17">
      <c r="A219" s="649">
        <v>32751</v>
      </c>
      <c r="B219" s="650" t="s">
        <v>86</v>
      </c>
      <c r="E219" s="1"/>
      <c r="F219" s="650">
        <v>39</v>
      </c>
      <c r="G219" s="653" t="s">
        <v>64</v>
      </c>
      <c r="L219" s="654">
        <v>502.04</v>
      </c>
      <c r="M219" s="654" t="s">
        <v>37</v>
      </c>
      <c r="Q219" s="655" t="str">
        <f t="array" ref="Q219">IFERROR(IF(Geo_Area_of_Opp_boost="Yes",INDEX($L$23:$L$2323,SMALL(IF((County=$M$23:$M$2323),MATCH(ROW($M$23:$M$2323),ROW($M$23:$M$2323)),""),ROWS($A$23:A219))),""),"")</f>
        <v/>
      </c>
    </row>
    <row r="220" spans="1:17">
      <c r="A220" s="649">
        <v>32789</v>
      </c>
      <c r="B220" s="650" t="s">
        <v>86</v>
      </c>
      <c r="E220" s="1"/>
      <c r="F220" s="650">
        <v>40</v>
      </c>
      <c r="G220" s="653" t="s">
        <v>64</v>
      </c>
      <c r="L220" s="654">
        <v>502.05</v>
      </c>
      <c r="M220" s="654" t="s">
        <v>37</v>
      </c>
      <c r="Q220" s="655" t="str">
        <f t="array" ref="Q220">IFERROR(IF(Geo_Area_of_Opp_boost="Yes",INDEX($L$23:$L$2323,SMALL(IF((County=$M$23:$M$2323),MATCH(ROW($M$23:$M$2323),ROW($M$23:$M$2323)),""),ROWS($A$23:A220))),""),"")</f>
        <v/>
      </c>
    </row>
    <row r="221" spans="1:17">
      <c r="A221" s="649">
        <v>32792</v>
      </c>
      <c r="B221" s="650" t="s">
        <v>86</v>
      </c>
      <c r="E221" s="1"/>
      <c r="F221" s="650">
        <v>41</v>
      </c>
      <c r="G221" s="653" t="s">
        <v>64</v>
      </c>
      <c r="L221" s="654">
        <v>502.06</v>
      </c>
      <c r="M221" s="654" t="s">
        <v>37</v>
      </c>
      <c r="Q221" s="655" t="str">
        <f t="array" ref="Q221">IFERROR(IF(Geo_Area_of_Opp_boost="Yes",INDEX($L$23:$L$2323,SMALL(IF((County=$M$23:$M$2323),MATCH(ROW($M$23:$M$2323),ROW($M$23:$M$2323)),""),ROWS($A$23:A221))),""),"")</f>
        <v/>
      </c>
    </row>
    <row r="222" spans="1:17">
      <c r="A222" s="649">
        <v>32801</v>
      </c>
      <c r="B222" s="650" t="s">
        <v>86</v>
      </c>
      <c r="E222" s="1"/>
      <c r="F222" s="650">
        <v>42</v>
      </c>
      <c r="G222" s="653" t="s">
        <v>64</v>
      </c>
      <c r="L222" s="654">
        <v>504.01</v>
      </c>
      <c r="M222" s="654" t="s">
        <v>37</v>
      </c>
      <c r="Q222" s="655" t="str">
        <f t="array" ref="Q222">IFERROR(IF(Geo_Area_of_Opp_boost="Yes",INDEX($L$23:$L$2323,SMALL(IF((County=$M$23:$M$2323),MATCH(ROW($M$23:$M$2323),ROW($M$23:$M$2323)),""),ROWS($A$23:A222))),""),"")</f>
        <v/>
      </c>
    </row>
    <row r="223" spans="1:17">
      <c r="A223" s="649">
        <v>32803</v>
      </c>
      <c r="B223" s="650" t="s">
        <v>86</v>
      </c>
      <c r="E223" s="1"/>
      <c r="F223" s="650">
        <v>43</v>
      </c>
      <c r="G223" s="653" t="s">
        <v>64</v>
      </c>
      <c r="L223" s="654">
        <v>506.01</v>
      </c>
      <c r="M223" s="654" t="s">
        <v>37</v>
      </c>
      <c r="Q223" s="655" t="str">
        <f t="array" ref="Q223">IFERROR(IF(Geo_Area_of_Opp_boost="Yes",INDEX($L$23:$L$2323,SMALL(IF((County=$M$23:$M$2323),MATCH(ROW($M$23:$M$2323),ROW($M$23:$M$2323)),""),ROWS($A$23:A223))),""),"")</f>
        <v/>
      </c>
    </row>
    <row r="224" spans="1:17">
      <c r="A224" s="649">
        <v>32804</v>
      </c>
      <c r="B224" s="650" t="s">
        <v>86</v>
      </c>
      <c r="E224" s="1"/>
      <c r="F224" s="650">
        <v>44</v>
      </c>
      <c r="G224" s="653" t="s">
        <v>64</v>
      </c>
      <c r="L224" s="654">
        <v>506.02</v>
      </c>
      <c r="M224" s="654" t="s">
        <v>37</v>
      </c>
      <c r="Q224" s="655" t="str">
        <f t="array" ref="Q224">IFERROR(IF(Geo_Area_of_Opp_boost="Yes",INDEX($L$23:$L$2323,SMALL(IF((County=$M$23:$M$2323),MATCH(ROW($M$23:$M$2323),ROW($M$23:$M$2323)),""),ROWS($A$23:A224))),""),"")</f>
        <v/>
      </c>
    </row>
    <row r="225" spans="1:17">
      <c r="A225" s="649">
        <v>32812</v>
      </c>
      <c r="B225" s="650" t="s">
        <v>86</v>
      </c>
      <c r="E225" s="1"/>
      <c r="F225" s="650">
        <v>50</v>
      </c>
      <c r="G225" s="653" t="s">
        <v>64</v>
      </c>
      <c r="L225" s="654">
        <v>509</v>
      </c>
      <c r="M225" s="654" t="s">
        <v>37</v>
      </c>
      <c r="Q225" s="655" t="str">
        <f t="array" ref="Q225">IFERROR(IF(Geo_Area_of_Opp_boost="Yes",INDEX($L$23:$L$2323,SMALL(IF((County=$M$23:$M$2323),MATCH(ROW($M$23:$M$2323),ROW($M$23:$M$2323)),""),ROWS($A$23:A225))),""),"")</f>
        <v/>
      </c>
    </row>
    <row r="226" spans="1:17">
      <c r="A226" s="649">
        <v>32814</v>
      </c>
      <c r="B226" s="650" t="s">
        <v>86</v>
      </c>
      <c r="E226" s="1"/>
      <c r="F226" s="650">
        <v>53.02</v>
      </c>
      <c r="G226" s="653" t="s">
        <v>64</v>
      </c>
      <c r="L226" s="654">
        <v>510.01</v>
      </c>
      <c r="M226" s="654" t="s">
        <v>37</v>
      </c>
      <c r="Q226" s="655" t="str">
        <f t="array" ref="Q226">IFERROR(IF(Geo_Area_of_Opp_boost="Yes",INDEX($L$23:$L$2323,SMALL(IF((County=$M$23:$M$2323),MATCH(ROW($M$23:$M$2323),ROW($M$23:$M$2323)),""),ROWS($A$23:A226))),""),"")</f>
        <v/>
      </c>
    </row>
    <row r="227" spans="1:17">
      <c r="A227" s="649">
        <v>32817</v>
      </c>
      <c r="B227" s="650" t="s">
        <v>86</v>
      </c>
      <c r="E227" s="1"/>
      <c r="F227" s="650">
        <v>70.02</v>
      </c>
      <c r="G227" s="653" t="s">
        <v>64</v>
      </c>
      <c r="L227" s="654">
        <v>510.02</v>
      </c>
      <c r="M227" s="654" t="s">
        <v>37</v>
      </c>
      <c r="Q227" s="655" t="str">
        <f t="array" ref="Q227">IFERROR(IF(Geo_Area_of_Opp_boost="Yes",INDEX($L$23:$L$2323,SMALL(IF((County=$M$23:$M$2323),MATCH(ROW($M$23:$M$2323),ROW($M$23:$M$2323)),""),ROWS($A$23:A227))),""),"")</f>
        <v/>
      </c>
    </row>
    <row r="228" spans="1:17">
      <c r="A228" s="649">
        <v>32819</v>
      </c>
      <c r="B228" s="650" t="s">
        <v>86</v>
      </c>
      <c r="E228" s="1"/>
      <c r="F228" s="650">
        <v>102.03</v>
      </c>
      <c r="G228" s="653" t="s">
        <v>64</v>
      </c>
      <c r="L228" s="654">
        <v>601.11</v>
      </c>
      <c r="M228" s="654" t="s">
        <v>37</v>
      </c>
      <c r="Q228" s="655" t="str">
        <f t="array" ref="Q228">IFERROR(IF(Geo_Area_of_Opp_boost="Yes",INDEX($L$23:$L$2323,SMALL(IF((County=$M$23:$M$2323),MATCH(ROW($M$23:$M$2323),ROW($M$23:$M$2323)),""),ROWS($A$23:A228))),""),"")</f>
        <v/>
      </c>
    </row>
    <row r="229" spans="1:17">
      <c r="A229" s="649">
        <v>32820</v>
      </c>
      <c r="B229" s="650" t="s">
        <v>86</v>
      </c>
      <c r="E229" s="1"/>
      <c r="F229" s="650">
        <v>102.13</v>
      </c>
      <c r="G229" s="653" t="s">
        <v>64</v>
      </c>
      <c r="L229" s="654">
        <v>601.14</v>
      </c>
      <c r="M229" s="654" t="s">
        <v>37</v>
      </c>
      <c r="Q229" s="655" t="str">
        <f t="array" ref="Q229">IFERROR(IF(Geo_Area_of_Opp_boost="Yes",INDEX($L$23:$L$2323,SMALL(IF((County=$M$23:$M$2323),MATCH(ROW($M$23:$M$2323),ROW($M$23:$M$2323)),""),ROWS($A$23:A229))),""),"")</f>
        <v/>
      </c>
    </row>
    <row r="230" spans="1:17">
      <c r="A230" s="649">
        <v>32821</v>
      </c>
      <c r="B230" s="650" t="s">
        <v>86</v>
      </c>
      <c r="E230" s="1"/>
      <c r="F230" s="650">
        <v>103.03</v>
      </c>
      <c r="G230" s="653" t="s">
        <v>64</v>
      </c>
      <c r="L230" s="654">
        <v>601.15</v>
      </c>
      <c r="M230" s="654" t="s">
        <v>37</v>
      </c>
      <c r="Q230" s="655" t="str">
        <f t="array" ref="Q230">IFERROR(IF(Geo_Area_of_Opp_boost="Yes",INDEX($L$23:$L$2323,SMALL(IF((County=$M$23:$M$2323),MATCH(ROW($M$23:$M$2323),ROW($M$23:$M$2323)),""),ROWS($A$23:A230))),""),"")</f>
        <v/>
      </c>
    </row>
    <row r="231" spans="1:17">
      <c r="A231" s="649">
        <v>32824</v>
      </c>
      <c r="B231" s="650" t="s">
        <v>86</v>
      </c>
      <c r="E231" s="1"/>
      <c r="F231" s="650">
        <v>105.01</v>
      </c>
      <c r="G231" s="653" t="s">
        <v>64</v>
      </c>
      <c r="L231" s="654">
        <v>601.16</v>
      </c>
      <c r="M231" s="654" t="s">
        <v>37</v>
      </c>
      <c r="Q231" s="655" t="str">
        <f t="array" ref="Q231">IFERROR(IF(Geo_Area_of_Opp_boost="Yes",INDEX($L$23:$L$2323,SMALL(IF((County=$M$23:$M$2323),MATCH(ROW($M$23:$M$2323),ROW($M$23:$M$2323)),""),ROWS($A$23:A231))),""),"")</f>
        <v/>
      </c>
    </row>
    <row r="232" spans="1:17">
      <c r="A232" s="649">
        <v>32827</v>
      </c>
      <c r="B232" s="650" t="s">
        <v>86</v>
      </c>
      <c r="E232" s="1"/>
      <c r="F232" s="650">
        <v>108.05</v>
      </c>
      <c r="G232" s="653" t="s">
        <v>64</v>
      </c>
      <c r="L232" s="654">
        <v>601.19000000000005</v>
      </c>
      <c r="M232" s="654" t="s">
        <v>37</v>
      </c>
      <c r="Q232" s="655" t="str">
        <f t="array" ref="Q232">IFERROR(IF(Geo_Area_of_Opp_boost="Yes",INDEX($L$23:$L$2323,SMALL(IF((County=$M$23:$M$2323),MATCH(ROW($M$23:$M$2323),ROW($M$23:$M$2323)),""),ROWS($A$23:A232))),""),"")</f>
        <v/>
      </c>
    </row>
    <row r="233" spans="1:17">
      <c r="A233" s="649">
        <v>32828</v>
      </c>
      <c r="B233" s="650" t="s">
        <v>86</v>
      </c>
      <c r="E233" s="1"/>
      <c r="F233" s="650">
        <v>108.08</v>
      </c>
      <c r="G233" s="653" t="s">
        <v>64</v>
      </c>
      <c r="L233" s="654">
        <v>601.20000000000005</v>
      </c>
      <c r="M233" s="654" t="s">
        <v>37</v>
      </c>
      <c r="Q233" s="655" t="str">
        <f t="array" ref="Q233">IFERROR(IF(Geo_Area_of_Opp_boost="Yes",INDEX($L$23:$L$2323,SMALL(IF((County=$M$23:$M$2323),MATCH(ROW($M$23:$M$2323),ROW($M$23:$M$2323)),""),ROWS($A$23:A233))),""),"")</f>
        <v/>
      </c>
    </row>
    <row r="234" spans="1:17">
      <c r="A234" s="649">
        <v>32829</v>
      </c>
      <c r="B234" s="650" t="s">
        <v>86</v>
      </c>
      <c r="E234" s="1"/>
      <c r="F234" s="650">
        <v>108.09</v>
      </c>
      <c r="G234" s="653" t="s">
        <v>64</v>
      </c>
      <c r="L234" s="654">
        <v>601.21</v>
      </c>
      <c r="M234" s="654" t="s">
        <v>37</v>
      </c>
      <c r="Q234" s="655" t="str">
        <f t="array" ref="Q234">IFERROR(IF(Geo_Area_of_Opp_boost="Yes",INDEX($L$23:$L$2323,SMALL(IF((County=$M$23:$M$2323),MATCH(ROW($M$23:$M$2323),ROW($M$23:$M$2323)),""),ROWS($A$23:A234))),""),"")</f>
        <v/>
      </c>
    </row>
    <row r="235" spans="1:17">
      <c r="A235" s="649">
        <v>32831</v>
      </c>
      <c r="B235" s="650" t="s">
        <v>86</v>
      </c>
      <c r="E235" s="1"/>
      <c r="F235" s="650">
        <v>108.11</v>
      </c>
      <c r="G235" s="653" t="s">
        <v>64</v>
      </c>
      <c r="L235" s="654">
        <v>601.22</v>
      </c>
      <c r="M235" s="654" t="s">
        <v>37</v>
      </c>
      <c r="Q235" s="655" t="str">
        <f t="array" ref="Q235">IFERROR(IF(Geo_Area_of_Opp_boost="Yes",INDEX($L$23:$L$2323,SMALL(IF((County=$M$23:$M$2323),MATCH(ROW($M$23:$M$2323),ROW($M$23:$M$2323)),""),ROWS($A$23:A235))),""),"")</f>
        <v/>
      </c>
    </row>
    <row r="236" spans="1:17">
      <c r="A236" s="649">
        <v>32832</v>
      </c>
      <c r="B236" s="650" t="s">
        <v>86</v>
      </c>
      <c r="E236" s="1"/>
      <c r="F236" s="650">
        <v>108.12</v>
      </c>
      <c r="G236" s="653" t="s">
        <v>64</v>
      </c>
      <c r="L236" s="654">
        <v>601.25</v>
      </c>
      <c r="M236" s="654" t="s">
        <v>37</v>
      </c>
      <c r="Q236" s="655" t="str">
        <f t="array" ref="Q236">IFERROR(IF(Geo_Area_of_Opp_boost="Yes",INDEX($L$23:$L$2323,SMALL(IF((County=$M$23:$M$2323),MATCH(ROW($M$23:$M$2323),ROW($M$23:$M$2323)),""),ROWS($A$23:A236))),""),"")</f>
        <v/>
      </c>
    </row>
    <row r="237" spans="1:17">
      <c r="A237" s="649">
        <v>32833</v>
      </c>
      <c r="B237" s="650" t="s">
        <v>86</v>
      </c>
      <c r="E237" s="1"/>
      <c r="F237" s="650">
        <v>108.13</v>
      </c>
      <c r="G237" s="653" t="s">
        <v>64</v>
      </c>
      <c r="L237" s="654">
        <v>601.26</v>
      </c>
      <c r="M237" s="654" t="s">
        <v>37</v>
      </c>
      <c r="Q237" s="655" t="str">
        <f t="array" ref="Q237">IFERROR(IF(Geo_Area_of_Opp_boost="Yes",INDEX($L$23:$L$2323,SMALL(IF((County=$M$23:$M$2323),MATCH(ROW($M$23:$M$2323),ROW($M$23:$M$2323)),""),ROWS($A$23:A237))),""),"")</f>
        <v/>
      </c>
    </row>
    <row r="238" spans="1:17">
      <c r="A238" s="649">
        <v>32835</v>
      </c>
      <c r="B238" s="650" t="s">
        <v>86</v>
      </c>
      <c r="E238" s="1"/>
      <c r="F238" s="650">
        <v>108.14</v>
      </c>
      <c r="G238" s="653" t="s">
        <v>64</v>
      </c>
      <c r="L238" s="654">
        <v>602.1</v>
      </c>
      <c r="M238" s="654" t="s">
        <v>37</v>
      </c>
      <c r="Q238" s="655" t="str">
        <f t="array" ref="Q238">IFERROR(IF(Geo_Area_of_Opp_boost="Yes",INDEX($L$23:$L$2323,SMALL(IF((County=$M$23:$M$2323),MATCH(ROW($M$23:$M$2323),ROW($M$23:$M$2323)),""),ROWS($A$23:A238))),""),"")</f>
        <v/>
      </c>
    </row>
    <row r="239" spans="1:17">
      <c r="A239" s="649">
        <v>32836</v>
      </c>
      <c r="B239" s="650" t="s">
        <v>86</v>
      </c>
      <c r="E239" s="1"/>
      <c r="F239" s="650">
        <v>108.15</v>
      </c>
      <c r="G239" s="653" t="s">
        <v>64</v>
      </c>
      <c r="L239" s="654">
        <v>602.12</v>
      </c>
      <c r="M239" s="654" t="s">
        <v>37</v>
      </c>
      <c r="Q239" s="655" t="str">
        <f t="array" ref="Q239">IFERROR(IF(Geo_Area_of_Opp_boost="Yes",INDEX($L$23:$L$2323,SMALL(IF((County=$M$23:$M$2323),MATCH(ROW($M$23:$M$2323),ROW($M$23:$M$2323)),""),ROWS($A$23:A239))),""),"")</f>
        <v/>
      </c>
    </row>
    <row r="240" spans="1:17">
      <c r="A240" s="649">
        <v>32837</v>
      </c>
      <c r="B240" s="650" t="s">
        <v>86</v>
      </c>
      <c r="E240" s="1"/>
      <c r="F240" s="650">
        <v>108.16</v>
      </c>
      <c r="G240" s="653" t="s">
        <v>64</v>
      </c>
      <c r="L240" s="654">
        <v>603.05999999999995</v>
      </c>
      <c r="M240" s="654" t="s">
        <v>37</v>
      </c>
      <c r="Q240" s="655" t="str">
        <f t="array" ref="Q240">IFERROR(IF(Geo_Area_of_Opp_boost="Yes",INDEX($L$23:$L$2323,SMALL(IF((County=$M$23:$M$2323),MATCH(ROW($M$23:$M$2323),ROW($M$23:$M$2323)),""),ROWS($A$23:A240))),""),"")</f>
        <v/>
      </c>
    </row>
    <row r="241" spans="1:17">
      <c r="A241" s="649">
        <v>34734</v>
      </c>
      <c r="B241" s="650" t="s">
        <v>86</v>
      </c>
      <c r="E241" s="1"/>
      <c r="F241" s="650">
        <v>108.17</v>
      </c>
      <c r="G241" s="653" t="s">
        <v>64</v>
      </c>
      <c r="L241" s="654">
        <v>605.01</v>
      </c>
      <c r="M241" s="654" t="s">
        <v>37</v>
      </c>
      <c r="Q241" s="655" t="str">
        <f t="array" ref="Q241">IFERROR(IF(Geo_Area_of_Opp_boost="Yes",INDEX($L$23:$L$2323,SMALL(IF((County=$M$23:$M$2323),MATCH(ROW($M$23:$M$2323),ROW($M$23:$M$2323)),""),ROWS($A$23:A241))),""),"")</f>
        <v/>
      </c>
    </row>
    <row r="242" spans="1:17">
      <c r="A242" s="649">
        <v>34761</v>
      </c>
      <c r="B242" s="650" t="s">
        <v>86</v>
      </c>
      <c r="E242" s="1"/>
      <c r="F242" s="650">
        <v>108.18</v>
      </c>
      <c r="G242" s="653" t="s">
        <v>64</v>
      </c>
      <c r="L242" s="654">
        <v>605.03</v>
      </c>
      <c r="M242" s="654" t="s">
        <v>37</v>
      </c>
      <c r="Q242" s="655" t="str">
        <f t="array" ref="Q242">IFERROR(IF(Geo_Area_of_Opp_boost="Yes",INDEX($L$23:$L$2323,SMALL(IF((County=$M$23:$M$2323),MATCH(ROW($M$23:$M$2323),ROW($M$23:$M$2323)),""),ROWS($A$23:A242))),""),"")</f>
        <v/>
      </c>
    </row>
    <row r="243" spans="1:17">
      <c r="A243" s="649">
        <v>34786</v>
      </c>
      <c r="B243" s="650" t="s">
        <v>86</v>
      </c>
      <c r="E243" s="1"/>
      <c r="F243" s="650">
        <v>110.1</v>
      </c>
      <c r="G243" s="653" t="s">
        <v>64</v>
      </c>
      <c r="L243" s="654">
        <v>605.04</v>
      </c>
      <c r="M243" s="654" t="s">
        <v>37</v>
      </c>
      <c r="Q243" s="655" t="str">
        <f t="array" ref="Q243">IFERROR(IF(Geo_Area_of_Opp_boost="Yes",INDEX($L$23:$L$2323,SMALL(IF((County=$M$23:$M$2323),MATCH(ROW($M$23:$M$2323),ROW($M$23:$M$2323)),""),ROWS($A$23:A243))),""),"")</f>
        <v/>
      </c>
    </row>
    <row r="244" spans="1:17">
      <c r="A244" s="649">
        <v>33848</v>
      </c>
      <c r="B244" s="650" t="s">
        <v>87</v>
      </c>
      <c r="E244" s="1"/>
      <c r="F244" s="650">
        <v>112.06</v>
      </c>
      <c r="G244" s="653" t="s">
        <v>64</v>
      </c>
      <c r="L244" s="654">
        <v>606.03</v>
      </c>
      <c r="M244" s="654" t="s">
        <v>37</v>
      </c>
      <c r="Q244" s="655" t="str">
        <f t="array" ref="Q244">IFERROR(IF(Geo_Area_of_Opp_boost="Yes",INDEX($L$23:$L$2323,SMALL(IF((County=$M$23:$M$2323),MATCH(ROW($M$23:$M$2323),ROW($M$23:$M$2323)),""),ROWS($A$23:A244))),""),"")</f>
        <v/>
      </c>
    </row>
    <row r="245" spans="1:17">
      <c r="A245" s="649">
        <v>34743</v>
      </c>
      <c r="B245" s="650" t="s">
        <v>87</v>
      </c>
      <c r="E245" s="1"/>
      <c r="F245" s="650">
        <v>116.1</v>
      </c>
      <c r="G245" s="653" t="s">
        <v>64</v>
      </c>
      <c r="L245" s="654">
        <v>606.04999999999995</v>
      </c>
      <c r="M245" s="654" t="s">
        <v>37</v>
      </c>
      <c r="Q245" s="655" t="str">
        <f t="array" ref="Q245">IFERROR(IF(Geo_Area_of_Opp_boost="Yes",INDEX($L$23:$L$2323,SMALL(IF((County=$M$23:$M$2323),MATCH(ROW($M$23:$M$2323),ROW($M$23:$M$2323)),""),ROWS($A$23:A245))),""),"")</f>
        <v/>
      </c>
    </row>
    <row r="246" spans="1:17">
      <c r="A246" s="649">
        <v>34744</v>
      </c>
      <c r="B246" s="650" t="s">
        <v>87</v>
      </c>
      <c r="E246" s="1"/>
      <c r="F246" s="650">
        <v>116.14</v>
      </c>
      <c r="G246" s="653" t="s">
        <v>64</v>
      </c>
      <c r="L246" s="654">
        <v>606.07000000000005</v>
      </c>
      <c r="M246" s="654" t="s">
        <v>37</v>
      </c>
      <c r="Q246" s="655" t="str">
        <f t="array" ref="Q246">IFERROR(IF(Geo_Area_of_Opp_boost="Yes",INDEX($L$23:$L$2323,SMALL(IF((County=$M$23:$M$2323),MATCH(ROW($M$23:$M$2323),ROW($M$23:$M$2323)),""),ROWS($A$23:A246))),""),"")</f>
        <v/>
      </c>
    </row>
    <row r="247" spans="1:17">
      <c r="A247" s="649">
        <v>34746</v>
      </c>
      <c r="B247" s="650" t="s">
        <v>87</v>
      </c>
      <c r="E247" s="1"/>
      <c r="F247" s="650">
        <v>116.15</v>
      </c>
      <c r="G247" s="653" t="s">
        <v>64</v>
      </c>
      <c r="L247" s="654">
        <v>606.08000000000004</v>
      </c>
      <c r="M247" s="654" t="s">
        <v>37</v>
      </c>
      <c r="Q247" s="655" t="str">
        <f t="array" ref="Q247">IFERROR(IF(Geo_Area_of_Opp_boost="Yes",INDEX($L$23:$L$2323,SMALL(IF((County=$M$23:$M$2323),MATCH(ROW($M$23:$M$2323),ROW($M$23:$M$2323)),""),ROWS($A$23:A247))),""),"")</f>
        <v/>
      </c>
    </row>
    <row r="248" spans="1:17">
      <c r="A248" s="649">
        <v>34747</v>
      </c>
      <c r="B248" s="650" t="s">
        <v>87</v>
      </c>
      <c r="E248" s="1"/>
      <c r="F248" s="650">
        <v>119.04</v>
      </c>
      <c r="G248" s="653" t="s">
        <v>64</v>
      </c>
      <c r="L248" s="654">
        <v>606.09</v>
      </c>
      <c r="M248" s="654" t="s">
        <v>37</v>
      </c>
      <c r="Q248" s="655" t="str">
        <f t="array" ref="Q248">IFERROR(IF(Geo_Area_of_Opp_boost="Yes",INDEX($L$23:$L$2323,SMALL(IF((County=$M$23:$M$2323),MATCH(ROW($M$23:$M$2323),ROW($M$23:$M$2323)),""),ROWS($A$23:A248))),""),"")</f>
        <v/>
      </c>
    </row>
    <row r="249" spans="1:17">
      <c r="A249" s="649">
        <v>34758</v>
      </c>
      <c r="B249" s="650" t="s">
        <v>87</v>
      </c>
      <c r="E249" s="1"/>
      <c r="F249" s="650">
        <v>119.05</v>
      </c>
      <c r="G249" s="653" t="s">
        <v>64</v>
      </c>
      <c r="L249" s="654">
        <v>607</v>
      </c>
      <c r="M249" s="654" t="s">
        <v>37</v>
      </c>
      <c r="Q249" s="655" t="str">
        <f t="array" ref="Q249">IFERROR(IF(Geo_Area_of_Opp_boost="Yes",INDEX($L$23:$L$2323,SMALL(IF((County=$M$23:$M$2323),MATCH(ROW($M$23:$M$2323),ROW($M$23:$M$2323)),""),ROWS($A$23:A249))),""),"")</f>
        <v/>
      </c>
    </row>
    <row r="250" spans="1:17">
      <c r="A250" s="649">
        <v>34771</v>
      </c>
      <c r="B250" s="650" t="s">
        <v>87</v>
      </c>
      <c r="E250" s="1"/>
      <c r="F250" s="650">
        <v>120.02</v>
      </c>
      <c r="G250" s="653" t="s">
        <v>64</v>
      </c>
      <c r="L250" s="654">
        <v>609</v>
      </c>
      <c r="M250" s="654" t="s">
        <v>37</v>
      </c>
      <c r="Q250" s="655" t="str">
        <f t="array" ref="Q250">IFERROR(IF(Geo_Area_of_Opp_boost="Yes",INDEX($L$23:$L$2323,SMALL(IF((County=$M$23:$M$2323),MATCH(ROW($M$23:$M$2323),ROW($M$23:$M$2323)),""),ROWS($A$23:A250))),""),"")</f>
        <v/>
      </c>
    </row>
    <row r="251" spans="1:17">
      <c r="A251" s="649">
        <v>34772</v>
      </c>
      <c r="B251" s="650" t="s">
        <v>87</v>
      </c>
      <c r="E251" s="1"/>
      <c r="F251" s="650">
        <v>121.03</v>
      </c>
      <c r="G251" s="653" t="s">
        <v>64</v>
      </c>
      <c r="L251" s="654">
        <v>610.01</v>
      </c>
      <c r="M251" s="654" t="s">
        <v>37</v>
      </c>
      <c r="Q251" s="655" t="str">
        <f t="array" ref="Q251">IFERROR(IF(Geo_Area_of_Opp_boost="Yes",INDEX($L$23:$L$2323,SMALL(IF((County=$M$23:$M$2323),MATCH(ROW($M$23:$M$2323),ROW($M$23:$M$2323)),""),ROWS($A$23:A251))),""),"")</f>
        <v/>
      </c>
    </row>
    <row r="252" spans="1:17">
      <c r="A252" s="649">
        <v>33410</v>
      </c>
      <c r="B252" s="650" t="s">
        <v>88</v>
      </c>
      <c r="E252" s="1"/>
      <c r="F252" s="650">
        <v>121.04</v>
      </c>
      <c r="G252" s="653" t="s">
        <v>64</v>
      </c>
      <c r="L252" s="654">
        <v>610.02</v>
      </c>
      <c r="M252" s="654" t="s">
        <v>37</v>
      </c>
      <c r="Q252" s="655" t="str">
        <f t="array" ref="Q252">IFERROR(IF(Geo_Area_of_Opp_boost="Yes",INDEX($L$23:$L$2323,SMALL(IF((County=$M$23:$M$2323),MATCH(ROW($M$23:$M$2323),ROW($M$23:$M$2323)),""),ROWS($A$23:A252))),""),"")</f>
        <v/>
      </c>
    </row>
    <row r="253" spans="1:17">
      <c r="A253" s="649">
        <v>33412</v>
      </c>
      <c r="B253" s="650" t="s">
        <v>88</v>
      </c>
      <c r="E253" s="1"/>
      <c r="F253" s="650">
        <v>122.11</v>
      </c>
      <c r="G253" s="653" t="s">
        <v>64</v>
      </c>
      <c r="L253" s="654">
        <v>702.05</v>
      </c>
      <c r="M253" s="654" t="s">
        <v>37</v>
      </c>
      <c r="Q253" s="655" t="str">
        <f t="array" ref="Q253">IFERROR(IF(Geo_Area_of_Opp_boost="Yes",INDEX($L$23:$L$2323,SMALL(IF((County=$M$23:$M$2323),MATCH(ROW($M$23:$M$2323),ROW($M$23:$M$2323)),""),ROWS($A$23:A253))),""),"")</f>
        <v/>
      </c>
    </row>
    <row r="254" spans="1:17">
      <c r="A254" s="649">
        <v>33413</v>
      </c>
      <c r="B254" s="650" t="s">
        <v>88</v>
      </c>
      <c r="E254" s="1"/>
      <c r="F254" s="650">
        <v>122.12</v>
      </c>
      <c r="G254" s="653" t="s">
        <v>64</v>
      </c>
      <c r="L254" s="654">
        <v>702.07</v>
      </c>
      <c r="M254" s="654" t="s">
        <v>37</v>
      </c>
      <c r="Q254" s="655" t="str">
        <f t="array" ref="Q254">IFERROR(IF(Geo_Area_of_Opp_boost="Yes",INDEX($L$23:$L$2323,SMALL(IF((County=$M$23:$M$2323),MATCH(ROW($M$23:$M$2323),ROW($M$23:$M$2323)),""),ROWS($A$23:A254))),""),"")</f>
        <v/>
      </c>
    </row>
    <row r="255" spans="1:17">
      <c r="A255" s="649">
        <v>33414</v>
      </c>
      <c r="B255" s="650" t="s">
        <v>88</v>
      </c>
      <c r="E255" s="1"/>
      <c r="F255" s="650">
        <v>124.01</v>
      </c>
      <c r="G255" s="653" t="s">
        <v>64</v>
      </c>
      <c r="L255" s="654">
        <v>702.08</v>
      </c>
      <c r="M255" s="654" t="s">
        <v>37</v>
      </c>
      <c r="Q255" s="655" t="str">
        <f t="array" ref="Q255">IFERROR(IF(Geo_Area_of_Opp_boost="Yes",INDEX($L$23:$L$2323,SMALL(IF((County=$M$23:$M$2323),MATCH(ROW($M$23:$M$2323),ROW($M$23:$M$2323)),""),ROWS($A$23:A255))),""),"")</f>
        <v/>
      </c>
    </row>
    <row r="256" spans="1:17">
      <c r="A256" s="649">
        <v>33418</v>
      </c>
      <c r="B256" s="650" t="s">
        <v>88</v>
      </c>
      <c r="E256" s="1"/>
      <c r="F256" s="650">
        <v>124.02</v>
      </c>
      <c r="G256" s="653" t="s">
        <v>64</v>
      </c>
      <c r="L256" s="654">
        <v>702.09</v>
      </c>
      <c r="M256" s="654" t="s">
        <v>37</v>
      </c>
      <c r="Q256" s="655" t="str">
        <f t="array" ref="Q256">IFERROR(IF(Geo_Area_of_Opp_boost="Yes",INDEX($L$23:$L$2323,SMALL(IF((County=$M$23:$M$2323),MATCH(ROW($M$23:$M$2323),ROW($M$23:$M$2323)),""),ROWS($A$23:A256))),""),"")</f>
        <v/>
      </c>
    </row>
    <row r="257" spans="1:17">
      <c r="A257" s="649">
        <v>33426</v>
      </c>
      <c r="B257" s="650" t="s">
        <v>88</v>
      </c>
      <c r="E257" s="1"/>
      <c r="F257" s="650">
        <v>124.03</v>
      </c>
      <c r="G257" s="653" t="s">
        <v>64</v>
      </c>
      <c r="L257" s="654">
        <v>702.11</v>
      </c>
      <c r="M257" s="654" t="s">
        <v>37</v>
      </c>
      <c r="Q257" s="655" t="str">
        <f t="array" ref="Q257">IFERROR(IF(Geo_Area_of_Opp_boost="Yes",INDEX($L$23:$L$2323,SMALL(IF((County=$M$23:$M$2323),MATCH(ROW($M$23:$M$2323),ROW($M$23:$M$2323)),""),ROWS($A$23:A257))),""),"")</f>
        <v/>
      </c>
    </row>
    <row r="258" spans="1:17">
      <c r="A258" s="649">
        <v>33428</v>
      </c>
      <c r="B258" s="650" t="s">
        <v>88</v>
      </c>
      <c r="E258" s="1"/>
      <c r="F258" s="650">
        <v>129</v>
      </c>
      <c r="G258" s="653" t="s">
        <v>64</v>
      </c>
      <c r="L258" s="654">
        <v>703.04</v>
      </c>
      <c r="M258" s="654" t="s">
        <v>37</v>
      </c>
      <c r="Q258" s="655" t="str">
        <f t="array" ref="Q258">IFERROR(IF(Geo_Area_of_Opp_boost="Yes",INDEX($L$23:$L$2323,SMALL(IF((County=$M$23:$M$2323),MATCH(ROW($M$23:$M$2323),ROW($M$23:$M$2323)),""),ROWS($A$23:A258))),""),"")</f>
        <v/>
      </c>
    </row>
    <row r="259" spans="1:17">
      <c r="A259" s="649">
        <v>33431</v>
      </c>
      <c r="B259" s="650" t="s">
        <v>88</v>
      </c>
      <c r="E259" s="1"/>
      <c r="F259" s="650">
        <v>133.16999999999999</v>
      </c>
      <c r="G259" s="653" t="s">
        <v>64</v>
      </c>
      <c r="L259" s="654">
        <v>703.06</v>
      </c>
      <c r="M259" s="654" t="s">
        <v>37</v>
      </c>
      <c r="Q259" s="655" t="str">
        <f t="array" ref="Q259">IFERROR(IF(Geo_Area_of_Opp_boost="Yes",INDEX($L$23:$L$2323,SMALL(IF((County=$M$23:$M$2323),MATCH(ROW($M$23:$M$2323),ROW($M$23:$M$2323)),""),ROWS($A$23:A259))),""),"")</f>
        <v/>
      </c>
    </row>
    <row r="260" spans="1:17">
      <c r="A260" s="649">
        <v>33432</v>
      </c>
      <c r="B260" s="650" t="s">
        <v>88</v>
      </c>
      <c r="E260" s="1"/>
      <c r="F260" s="650">
        <v>135.04</v>
      </c>
      <c r="G260" s="653" t="s">
        <v>64</v>
      </c>
      <c r="L260" s="654">
        <v>703.1</v>
      </c>
      <c r="M260" s="654" t="s">
        <v>37</v>
      </c>
      <c r="Q260" s="655" t="str">
        <f t="array" ref="Q260">IFERROR(IF(Geo_Area_of_Opp_boost="Yes",INDEX($L$23:$L$2323,SMALL(IF((County=$M$23:$M$2323),MATCH(ROW($M$23:$M$2323),ROW($M$23:$M$2323)),""),ROWS($A$23:A260))),""),"")</f>
        <v/>
      </c>
    </row>
    <row r="261" spans="1:17">
      <c r="A261" s="649">
        <v>33433</v>
      </c>
      <c r="B261" s="650" t="s">
        <v>88</v>
      </c>
      <c r="E261" s="1"/>
      <c r="F261" s="650">
        <v>135.05000000000001</v>
      </c>
      <c r="G261" s="653" t="s">
        <v>64</v>
      </c>
      <c r="L261" s="654">
        <v>703.11</v>
      </c>
      <c r="M261" s="654" t="s">
        <v>37</v>
      </c>
      <c r="Q261" s="655" t="str">
        <f t="array" ref="Q261">IFERROR(IF(Geo_Area_of_Opp_boost="Yes",INDEX($L$23:$L$2323,SMALL(IF((County=$M$23:$M$2323),MATCH(ROW($M$23:$M$2323),ROW($M$23:$M$2323)),""),ROWS($A$23:A261))),""),"")</f>
        <v/>
      </c>
    </row>
    <row r="262" spans="1:17">
      <c r="A262" s="649">
        <v>33435</v>
      </c>
      <c r="B262" s="650" t="s">
        <v>88</v>
      </c>
      <c r="E262" s="1"/>
      <c r="F262" s="650">
        <v>136.02000000000001</v>
      </c>
      <c r="G262" s="653" t="s">
        <v>64</v>
      </c>
      <c r="L262" s="654">
        <v>703.12</v>
      </c>
      <c r="M262" s="654" t="s">
        <v>37</v>
      </c>
      <c r="Q262" s="655" t="str">
        <f t="array" ref="Q262">IFERROR(IF(Geo_Area_of_Opp_boost="Yes",INDEX($L$23:$L$2323,SMALL(IF((County=$M$23:$M$2323),MATCH(ROW($M$23:$M$2323),ROW($M$23:$M$2323)),""),ROWS($A$23:A262))),""),"")</f>
        <v/>
      </c>
    </row>
    <row r="263" spans="1:17">
      <c r="A263" s="649">
        <v>33436</v>
      </c>
      <c r="B263" s="650" t="s">
        <v>88</v>
      </c>
      <c r="E263" s="1"/>
      <c r="F263" s="650">
        <v>136.04</v>
      </c>
      <c r="G263" s="653" t="s">
        <v>64</v>
      </c>
      <c r="L263" s="654">
        <v>703.13</v>
      </c>
      <c r="M263" s="654" t="s">
        <v>37</v>
      </c>
      <c r="Q263" s="655" t="str">
        <f t="array" ref="Q263">IFERROR(IF(Geo_Area_of_Opp_boost="Yes",INDEX($L$23:$L$2323,SMALL(IF((County=$M$23:$M$2323),MATCH(ROW($M$23:$M$2323),ROW($M$23:$M$2323)),""),ROWS($A$23:A263))),""),"")</f>
        <v/>
      </c>
    </row>
    <row r="264" spans="1:17">
      <c r="A264" s="649">
        <v>33437</v>
      </c>
      <c r="B264" s="650" t="s">
        <v>88</v>
      </c>
      <c r="E264" s="1"/>
      <c r="F264" s="650">
        <v>138.01</v>
      </c>
      <c r="G264" s="653" t="s">
        <v>64</v>
      </c>
      <c r="L264" s="654">
        <v>703.14</v>
      </c>
      <c r="M264" s="654" t="s">
        <v>37</v>
      </c>
      <c r="Q264" s="655" t="str">
        <f t="array" ref="Q264">IFERROR(IF(Geo_Area_of_Opp_boost="Yes",INDEX($L$23:$L$2323,SMALL(IF((County=$M$23:$M$2323),MATCH(ROW($M$23:$M$2323),ROW($M$23:$M$2323)),""),ROWS($A$23:A264))),""),"")</f>
        <v/>
      </c>
    </row>
    <row r="265" spans="1:17">
      <c r="A265" s="649">
        <v>33445</v>
      </c>
      <c r="B265" s="650" t="s">
        <v>88</v>
      </c>
      <c r="E265" s="1"/>
      <c r="F265" s="650">
        <v>138.03</v>
      </c>
      <c r="G265" s="653" t="s">
        <v>64</v>
      </c>
      <c r="L265" s="654">
        <v>703.15</v>
      </c>
      <c r="M265" s="654" t="s">
        <v>37</v>
      </c>
      <c r="Q265" s="655" t="str">
        <f t="array" ref="Q265">IFERROR(IF(Geo_Area_of_Opp_boost="Yes",INDEX($L$23:$L$2323,SMALL(IF((County=$M$23:$M$2323),MATCH(ROW($M$23:$M$2323),ROW($M$23:$M$2323)),""),ROWS($A$23:A265))),""),"")</f>
        <v/>
      </c>
    </row>
    <row r="266" spans="1:17">
      <c r="A266" s="649">
        <v>33449</v>
      </c>
      <c r="B266" s="650" t="s">
        <v>88</v>
      </c>
      <c r="E266" s="1"/>
      <c r="F266" s="650">
        <v>140.02000000000001</v>
      </c>
      <c r="G266" s="653" t="s">
        <v>64</v>
      </c>
      <c r="L266" s="654">
        <v>703.16</v>
      </c>
      <c r="M266" s="654" t="s">
        <v>37</v>
      </c>
      <c r="Q266" s="655" t="str">
        <f t="array" ref="Q266">IFERROR(IF(Geo_Area_of_Opp_boost="Yes",INDEX($L$23:$L$2323,SMALL(IF((County=$M$23:$M$2323),MATCH(ROW($M$23:$M$2323),ROW($M$23:$M$2323)),""),ROWS($A$23:A266))),""),"")</f>
        <v/>
      </c>
    </row>
    <row r="267" spans="1:17">
      <c r="A267" s="649">
        <v>33458</v>
      </c>
      <c r="B267" s="650" t="s">
        <v>88</v>
      </c>
      <c r="E267" s="1"/>
      <c r="F267" s="650">
        <v>140.13</v>
      </c>
      <c r="G267" s="653" t="s">
        <v>64</v>
      </c>
      <c r="L267" s="654">
        <v>703.17</v>
      </c>
      <c r="M267" s="654" t="s">
        <v>37</v>
      </c>
      <c r="Q267" s="655" t="str">
        <f t="array" ref="Q267">IFERROR(IF(Geo_Area_of_Opp_boost="Yes",INDEX($L$23:$L$2323,SMALL(IF((County=$M$23:$M$2323),MATCH(ROW($M$23:$M$2323),ROW($M$23:$M$2323)),""),ROWS($A$23:A267))),""),"")</f>
        <v/>
      </c>
    </row>
    <row r="268" spans="1:17">
      <c r="A268" s="649">
        <v>33467</v>
      </c>
      <c r="B268" s="650" t="s">
        <v>88</v>
      </c>
      <c r="E268" s="1"/>
      <c r="F268" s="650">
        <v>141.08000000000001</v>
      </c>
      <c r="G268" s="653" t="s">
        <v>64</v>
      </c>
      <c r="L268" s="654">
        <v>703.18</v>
      </c>
      <c r="M268" s="654" t="s">
        <v>37</v>
      </c>
      <c r="Q268" s="655" t="str">
        <f t="array" ref="Q268">IFERROR(IF(Geo_Area_of_Opp_boost="Yes",INDEX($L$23:$L$2323,SMALL(IF((County=$M$23:$M$2323),MATCH(ROW($M$23:$M$2323),ROW($M$23:$M$2323)),""),ROWS($A$23:A268))),""),"")</f>
        <v/>
      </c>
    </row>
    <row r="269" spans="1:17">
      <c r="A269" s="649">
        <v>33469</v>
      </c>
      <c r="B269" s="650" t="s">
        <v>88</v>
      </c>
      <c r="E269" s="1"/>
      <c r="F269" s="650">
        <v>503.02</v>
      </c>
      <c r="G269" s="653" t="s">
        <v>66</v>
      </c>
      <c r="L269" s="654">
        <v>703.19</v>
      </c>
      <c r="M269" s="654" t="s">
        <v>37</v>
      </c>
      <c r="Q269" s="655" t="str">
        <f t="array" ref="Q269">IFERROR(IF(Geo_Area_of_Opp_boost="Yes",INDEX($L$23:$L$2323,SMALL(IF((County=$M$23:$M$2323),MATCH(ROW($M$23:$M$2323),ROW($M$23:$M$2323)),""),ROWS($A$23:A269))),""),"")</f>
        <v/>
      </c>
    </row>
    <row r="270" spans="1:17">
      <c r="A270" s="649">
        <v>33470</v>
      </c>
      <c r="B270" s="650" t="s">
        <v>88</v>
      </c>
      <c r="E270" s="1"/>
      <c r="F270" s="650">
        <v>504.01</v>
      </c>
      <c r="G270" s="653" t="s">
        <v>66</v>
      </c>
      <c r="L270" s="654">
        <v>703.2</v>
      </c>
      <c r="M270" s="654" t="s">
        <v>37</v>
      </c>
      <c r="Q270" s="655" t="str">
        <f t="array" ref="Q270">IFERROR(IF(Geo_Area_of_Opp_boost="Yes",INDEX($L$23:$L$2323,SMALL(IF((County=$M$23:$M$2323),MATCH(ROW($M$23:$M$2323),ROW($M$23:$M$2323)),""),ROWS($A$23:A270))),""),"")</f>
        <v/>
      </c>
    </row>
    <row r="271" spans="1:17">
      <c r="A271" s="649">
        <v>33472</v>
      </c>
      <c r="B271" s="650" t="s">
        <v>88</v>
      </c>
      <c r="E271" s="1"/>
      <c r="F271" s="650">
        <v>509.04</v>
      </c>
      <c r="G271" s="653" t="s">
        <v>66</v>
      </c>
      <c r="L271" s="654">
        <v>703.21</v>
      </c>
      <c r="M271" s="654" t="s">
        <v>37</v>
      </c>
      <c r="Q271" s="655" t="str">
        <f t="array" ref="Q271">IFERROR(IF(Geo_Area_of_Opp_boost="Yes",INDEX($L$23:$L$2323,SMALL(IF((County=$M$23:$M$2323),MATCH(ROW($M$23:$M$2323),ROW($M$23:$M$2323)),""),ROWS($A$23:A271))),""),"")</f>
        <v/>
      </c>
    </row>
    <row r="272" spans="1:17">
      <c r="A272" s="649">
        <v>33473</v>
      </c>
      <c r="B272" s="650" t="s">
        <v>88</v>
      </c>
      <c r="E272" s="1"/>
      <c r="F272" s="650">
        <v>301.02</v>
      </c>
      <c r="G272" s="653" t="s">
        <v>70</v>
      </c>
      <c r="L272" s="654">
        <v>703.22</v>
      </c>
      <c r="M272" s="654" t="s">
        <v>37</v>
      </c>
      <c r="Q272" s="655" t="str">
        <f t="array" ref="Q272">IFERROR(IF(Geo_Area_of_Opp_boost="Yes",INDEX($L$23:$L$2323,SMALL(IF((County=$M$23:$M$2323),MATCH(ROW($M$23:$M$2323),ROW($M$23:$M$2323)),""),ROWS($A$23:A272))),""),"")</f>
        <v/>
      </c>
    </row>
    <row r="273" spans="1:17">
      <c r="A273" s="649">
        <v>33477</v>
      </c>
      <c r="B273" s="650" t="s">
        <v>88</v>
      </c>
      <c r="E273" s="1"/>
      <c r="F273" s="650">
        <v>301.06</v>
      </c>
      <c r="G273" s="653" t="s">
        <v>70</v>
      </c>
      <c r="L273" s="654">
        <v>704.01</v>
      </c>
      <c r="M273" s="654" t="s">
        <v>37</v>
      </c>
      <c r="Q273" s="655" t="str">
        <f t="array" ref="Q273">IFERROR(IF(Geo_Area_of_Opp_boost="Yes",INDEX($L$23:$L$2323,SMALL(IF((County=$M$23:$M$2323),MATCH(ROW($M$23:$M$2323),ROW($M$23:$M$2323)),""),ROWS($A$23:A273))),""),"")</f>
        <v/>
      </c>
    </row>
    <row r="274" spans="1:17">
      <c r="A274" s="649">
        <v>33478</v>
      </c>
      <c r="B274" s="650" t="s">
        <v>88</v>
      </c>
      <c r="E274" s="1"/>
      <c r="F274" s="650">
        <v>302.06</v>
      </c>
      <c r="G274" s="653" t="s">
        <v>70</v>
      </c>
      <c r="L274" s="654">
        <v>704.02</v>
      </c>
      <c r="M274" s="654" t="s">
        <v>37</v>
      </c>
      <c r="Q274" s="655" t="str">
        <f t="array" ref="Q274">IFERROR(IF(Geo_Area_of_Opp_boost="Yes",INDEX($L$23:$L$2323,SMALL(IF((County=$M$23:$M$2323),MATCH(ROW($M$23:$M$2323),ROW($M$23:$M$2323)),""),ROWS($A$23:A274))),""),"")</f>
        <v/>
      </c>
    </row>
    <row r="275" spans="1:17">
      <c r="A275" s="649">
        <v>33480</v>
      </c>
      <c r="B275" s="650" t="s">
        <v>88</v>
      </c>
      <c r="E275" s="1"/>
      <c r="F275" s="650">
        <v>302.08999999999997</v>
      </c>
      <c r="G275" s="653" t="s">
        <v>70</v>
      </c>
      <c r="L275" s="654">
        <v>704.03</v>
      </c>
      <c r="M275" s="654" t="s">
        <v>37</v>
      </c>
      <c r="Q275" s="655" t="str">
        <f t="array" ref="Q275">IFERROR(IF(Geo_Area_of_Opp_boost="Yes",INDEX($L$23:$L$2323,SMALL(IF((County=$M$23:$M$2323),MATCH(ROW($M$23:$M$2323),ROW($M$23:$M$2323)),""),ROWS($A$23:A275))),""),"")</f>
        <v/>
      </c>
    </row>
    <row r="276" spans="1:17">
      <c r="A276" s="649">
        <v>33483</v>
      </c>
      <c r="B276" s="650" t="s">
        <v>88</v>
      </c>
      <c r="E276" s="1"/>
      <c r="F276" s="650">
        <v>305.02999999999997</v>
      </c>
      <c r="G276" s="653" t="s">
        <v>70</v>
      </c>
      <c r="L276" s="654">
        <v>704.04</v>
      </c>
      <c r="M276" s="654" t="s">
        <v>37</v>
      </c>
      <c r="Q276" s="655" t="str">
        <f t="array" ref="Q276">IFERROR(IF(Geo_Area_of_Opp_boost="Yes",INDEX($L$23:$L$2323,SMALL(IF((County=$M$23:$M$2323),MATCH(ROW($M$23:$M$2323),ROW($M$23:$M$2323)),""),ROWS($A$23:A276))),""),"")</f>
        <v/>
      </c>
    </row>
    <row r="277" spans="1:17">
      <c r="A277" s="649">
        <v>33486</v>
      </c>
      <c r="B277" s="650" t="s">
        <v>88</v>
      </c>
      <c r="E277" s="1"/>
      <c r="F277" s="650">
        <v>306.01</v>
      </c>
      <c r="G277" s="653" t="s">
        <v>70</v>
      </c>
      <c r="L277" s="654">
        <v>704.05</v>
      </c>
      <c r="M277" s="654" t="s">
        <v>37</v>
      </c>
      <c r="Q277" s="655" t="str">
        <f t="array" ref="Q277">IFERROR(IF(Geo_Area_of_Opp_boost="Yes",INDEX($L$23:$L$2323,SMALL(IF((County=$M$23:$M$2323),MATCH(ROW($M$23:$M$2323),ROW($M$23:$M$2323)),""),ROWS($A$23:A277))),""),"")</f>
        <v/>
      </c>
    </row>
    <row r="278" spans="1:17">
      <c r="A278" s="649">
        <v>33487</v>
      </c>
      <c r="B278" s="650" t="s">
        <v>88</v>
      </c>
      <c r="E278" s="1"/>
      <c r="F278" s="650">
        <v>306.02</v>
      </c>
      <c r="G278" s="653" t="s">
        <v>70</v>
      </c>
      <c r="L278" s="654">
        <v>705.01</v>
      </c>
      <c r="M278" s="654" t="s">
        <v>37</v>
      </c>
      <c r="Q278" s="655" t="str">
        <f t="array" ref="Q278">IFERROR(IF(Geo_Area_of_Opp_boost="Yes",INDEX($L$23:$L$2323,SMALL(IF((County=$M$23:$M$2323),MATCH(ROW($M$23:$M$2323),ROW($M$23:$M$2323)),""),ROWS($A$23:A278))),""),"")</f>
        <v/>
      </c>
    </row>
    <row r="279" spans="1:17">
      <c r="A279" s="649">
        <v>33496</v>
      </c>
      <c r="B279" s="650" t="s">
        <v>88</v>
      </c>
      <c r="E279" s="1"/>
      <c r="F279" s="650">
        <v>3.01</v>
      </c>
      <c r="G279" s="653" t="s">
        <v>71</v>
      </c>
      <c r="L279" s="654">
        <v>706.02</v>
      </c>
      <c r="M279" s="654" t="s">
        <v>37</v>
      </c>
      <c r="Q279" s="655" t="str">
        <f t="array" ref="Q279">IFERROR(IF(Geo_Area_of_Opp_boost="Yes",INDEX($L$23:$L$2323,SMALL(IF((County=$M$23:$M$2323),MATCH(ROW($M$23:$M$2323),ROW($M$23:$M$2323)),""),ROWS($A$23:A279))),""),"")</f>
        <v/>
      </c>
    </row>
    <row r="280" spans="1:17">
      <c r="A280" s="649">
        <v>33498</v>
      </c>
      <c r="B280" s="650" t="s">
        <v>88</v>
      </c>
      <c r="E280" s="1"/>
      <c r="F280" s="650">
        <v>3.02</v>
      </c>
      <c r="G280" s="653" t="s">
        <v>71</v>
      </c>
      <c r="L280" s="654">
        <v>801.03</v>
      </c>
      <c r="M280" s="654" t="s">
        <v>37</v>
      </c>
      <c r="Q280" s="655" t="str">
        <f t="array" ref="Q280">IFERROR(IF(Geo_Area_of_Opp_boost="Yes",INDEX($L$23:$L$2323,SMALL(IF((County=$M$23:$M$2323),MATCH(ROW($M$23:$M$2323),ROW($M$23:$M$2323)),""),ROWS($A$23:A280))),""),"")</f>
        <v/>
      </c>
    </row>
    <row r="281" spans="1:17">
      <c r="A281" s="649">
        <v>33543</v>
      </c>
      <c r="B281" s="650" t="s">
        <v>89</v>
      </c>
      <c r="E281" s="1"/>
      <c r="F281" s="650">
        <v>4.01</v>
      </c>
      <c r="G281" s="653" t="s">
        <v>71</v>
      </c>
      <c r="L281" s="654">
        <v>804.06</v>
      </c>
      <c r="M281" s="654" t="s">
        <v>37</v>
      </c>
      <c r="Q281" s="655" t="str">
        <f t="array" ref="Q281">IFERROR(IF(Geo_Area_of_Opp_boost="Yes",INDEX($L$23:$L$2323,SMALL(IF((County=$M$23:$M$2323),MATCH(ROW($M$23:$M$2323),ROW($M$23:$M$2323)),""),ROWS($A$23:A281))),""),"")</f>
        <v/>
      </c>
    </row>
    <row r="282" spans="1:17">
      <c r="A282" s="649">
        <v>33544</v>
      </c>
      <c r="B282" s="650" t="s">
        <v>89</v>
      </c>
      <c r="E282" s="1"/>
      <c r="F282" s="650">
        <v>5.0199999999999996</v>
      </c>
      <c r="G282" s="653" t="s">
        <v>71</v>
      </c>
      <c r="L282" s="654">
        <v>901.01</v>
      </c>
      <c r="M282" s="654" t="s">
        <v>37</v>
      </c>
      <c r="Q282" s="655" t="str">
        <f t="array" ref="Q282">IFERROR(IF(Geo_Area_of_Opp_boost="Yes",INDEX($L$23:$L$2323,SMALL(IF((County=$M$23:$M$2323),MATCH(ROW($M$23:$M$2323),ROW($M$23:$M$2323)),""),ROWS($A$23:A282))),""),"")</f>
        <v/>
      </c>
    </row>
    <row r="283" spans="1:17">
      <c r="A283" s="649">
        <v>33545</v>
      </c>
      <c r="B283" s="650" t="s">
        <v>89</v>
      </c>
      <c r="E283" s="1"/>
      <c r="F283" s="650">
        <v>5.04</v>
      </c>
      <c r="G283" s="653" t="s">
        <v>71</v>
      </c>
      <c r="L283" s="654">
        <v>901.02</v>
      </c>
      <c r="M283" s="654" t="s">
        <v>37</v>
      </c>
      <c r="Q283" s="655" t="str">
        <f t="array" ref="Q283">IFERROR(IF(Geo_Area_of_Opp_boost="Yes",INDEX($L$23:$L$2323,SMALL(IF((County=$M$23:$M$2323),MATCH(ROW($M$23:$M$2323),ROW($M$23:$M$2323)),""),ROWS($A$23:A283))),""),"")</f>
        <v/>
      </c>
    </row>
    <row r="284" spans="1:17">
      <c r="A284" s="649">
        <v>34637</v>
      </c>
      <c r="B284" s="650" t="s">
        <v>89</v>
      </c>
      <c r="E284" s="1"/>
      <c r="F284" s="650">
        <v>6</v>
      </c>
      <c r="G284" s="653" t="s">
        <v>71</v>
      </c>
      <c r="L284" s="654">
        <v>902</v>
      </c>
      <c r="M284" s="654" t="s">
        <v>37</v>
      </c>
      <c r="Q284" s="655" t="str">
        <f t="array" ref="Q284">IFERROR(IF(Geo_Area_of_Opp_boost="Yes",INDEX($L$23:$L$2323,SMALL(IF((County=$M$23:$M$2323),MATCH(ROW($M$23:$M$2323),ROW($M$23:$M$2323)),""),ROWS($A$23:A284))),""),"")</f>
        <v/>
      </c>
    </row>
    <row r="285" spans="1:17">
      <c r="A285" s="649">
        <v>34638</v>
      </c>
      <c r="B285" s="650" t="s">
        <v>89</v>
      </c>
      <c r="E285" s="1"/>
      <c r="F285" s="650">
        <v>7</v>
      </c>
      <c r="G285" s="653" t="s">
        <v>71</v>
      </c>
      <c r="L285" s="654">
        <v>905.02</v>
      </c>
      <c r="M285" s="654" t="s">
        <v>37</v>
      </c>
      <c r="Q285" s="655" t="str">
        <f t="array" ref="Q285">IFERROR(IF(Geo_Area_of_Opp_boost="Yes",INDEX($L$23:$L$2323,SMALL(IF((County=$M$23:$M$2323),MATCH(ROW($M$23:$M$2323),ROW($M$23:$M$2323)),""),ROWS($A$23:A285))),""),"")</f>
        <v/>
      </c>
    </row>
    <row r="286" spans="1:17">
      <c r="A286" s="649">
        <v>34639</v>
      </c>
      <c r="B286" s="650" t="s">
        <v>89</v>
      </c>
      <c r="E286" s="1"/>
      <c r="F286" s="650">
        <v>11.01</v>
      </c>
      <c r="G286" s="653" t="s">
        <v>71</v>
      </c>
      <c r="L286" s="654">
        <v>905.03</v>
      </c>
      <c r="M286" s="654" t="s">
        <v>37</v>
      </c>
      <c r="Q286" s="655" t="str">
        <f t="array" ref="Q286">IFERROR(IF(Geo_Area_of_Opp_boost="Yes",INDEX($L$23:$L$2323,SMALL(IF((County=$M$23:$M$2323),MATCH(ROW($M$23:$M$2323),ROW($M$23:$M$2323)),""),ROWS($A$23:A286))),""),"")</f>
        <v/>
      </c>
    </row>
    <row r="287" spans="1:17">
      <c r="A287" s="649">
        <v>34655</v>
      </c>
      <c r="B287" s="650" t="s">
        <v>89</v>
      </c>
      <c r="E287" s="1"/>
      <c r="F287" s="650">
        <v>11.02</v>
      </c>
      <c r="G287" s="653" t="s">
        <v>71</v>
      </c>
      <c r="L287" s="654">
        <v>906.01</v>
      </c>
      <c r="M287" s="654" t="s">
        <v>37</v>
      </c>
      <c r="Q287" s="655" t="str">
        <f t="array" ref="Q287">IFERROR(IF(Geo_Area_of_Opp_boost="Yes",INDEX($L$23:$L$2323,SMALL(IF((County=$M$23:$M$2323),MATCH(ROW($M$23:$M$2323),ROW($M$23:$M$2323)),""),ROWS($A$23:A287))),""),"")</f>
        <v/>
      </c>
    </row>
    <row r="288" spans="1:17">
      <c r="A288" s="649">
        <v>33703</v>
      </c>
      <c r="B288" s="650" t="s">
        <v>90</v>
      </c>
      <c r="E288" s="1"/>
      <c r="F288" s="650">
        <v>15.02</v>
      </c>
      <c r="G288" s="653" t="s">
        <v>71</v>
      </c>
      <c r="L288" s="654">
        <v>908.01</v>
      </c>
      <c r="M288" s="654" t="s">
        <v>37</v>
      </c>
      <c r="Q288" s="655" t="str">
        <f t="array" ref="Q288">IFERROR(IF(Geo_Area_of_Opp_boost="Yes",INDEX($L$23:$L$2323,SMALL(IF((County=$M$23:$M$2323),MATCH(ROW($M$23:$M$2323),ROW($M$23:$M$2323)),""),ROWS($A$23:A288))),""),"")</f>
        <v/>
      </c>
    </row>
    <row r="289" spans="1:17">
      <c r="A289" s="649">
        <v>33705</v>
      </c>
      <c r="B289" s="650" t="s">
        <v>90</v>
      </c>
      <c r="E289" s="1"/>
      <c r="F289" s="650">
        <v>108.02</v>
      </c>
      <c r="G289" s="653" t="s">
        <v>71</v>
      </c>
      <c r="L289" s="654">
        <v>908.02</v>
      </c>
      <c r="M289" s="654" t="s">
        <v>37</v>
      </c>
      <c r="Q289" s="655" t="str">
        <f t="array" ref="Q289">IFERROR(IF(Geo_Area_of_Opp_boost="Yes",INDEX($L$23:$L$2323,SMALL(IF((County=$M$23:$M$2323),MATCH(ROW($M$23:$M$2323),ROW($M$23:$M$2323)),""),ROWS($A$23:A289))),""),"")</f>
        <v/>
      </c>
    </row>
    <row r="290" spans="1:17">
      <c r="A290" s="649">
        <v>33706</v>
      </c>
      <c r="B290" s="650" t="s">
        <v>90</v>
      </c>
      <c r="E290" s="1"/>
      <c r="F290" s="650">
        <v>203</v>
      </c>
      <c r="G290" s="653" t="s">
        <v>71</v>
      </c>
      <c r="L290" s="654">
        <v>909</v>
      </c>
      <c r="M290" s="654" t="s">
        <v>37</v>
      </c>
      <c r="Q290" s="655" t="str">
        <f t="array" ref="Q290">IFERROR(IF(Geo_Area_of_Opp_boost="Yes",INDEX($L$23:$L$2323,SMALL(IF((County=$M$23:$M$2323),MATCH(ROW($M$23:$M$2323),ROW($M$23:$M$2323)),""),ROWS($A$23:A290))),""),"")</f>
        <v/>
      </c>
    </row>
    <row r="291" spans="1:17">
      <c r="A291" s="649">
        <v>33707</v>
      </c>
      <c r="B291" s="650" t="s">
        <v>90</v>
      </c>
      <c r="E291" s="1"/>
      <c r="F291" s="650">
        <v>205.01</v>
      </c>
      <c r="G291" s="653" t="s">
        <v>71</v>
      </c>
      <c r="L291" s="654">
        <v>910</v>
      </c>
      <c r="M291" s="654" t="s">
        <v>37</v>
      </c>
      <c r="Q291" s="655" t="str">
        <f t="array" ref="Q291">IFERROR(IF(Geo_Area_of_Opp_boost="Yes",INDEX($L$23:$L$2323,SMALL(IF((County=$M$23:$M$2323),MATCH(ROW($M$23:$M$2323),ROW($M$23:$M$2323)),""),ROWS($A$23:A291))),""),"")</f>
        <v/>
      </c>
    </row>
    <row r="292" spans="1:17">
      <c r="A292" s="649">
        <v>33708</v>
      </c>
      <c r="B292" s="650" t="s">
        <v>90</v>
      </c>
      <c r="E292" s="1"/>
      <c r="F292" s="650">
        <v>208</v>
      </c>
      <c r="G292" s="653" t="s">
        <v>71</v>
      </c>
      <c r="L292" s="654">
        <v>913</v>
      </c>
      <c r="M292" s="654" t="s">
        <v>37</v>
      </c>
      <c r="Q292" s="655" t="str">
        <f t="array" ref="Q292">IFERROR(IF(Geo_Area_of_Opp_boost="Yes",INDEX($L$23:$L$2323,SMALL(IF((County=$M$23:$M$2323),MATCH(ROW($M$23:$M$2323),ROW($M$23:$M$2323)),""),ROWS($A$23:A292))),""),"")</f>
        <v/>
      </c>
    </row>
    <row r="293" spans="1:17">
      <c r="A293" s="649">
        <v>33711</v>
      </c>
      <c r="B293" s="650" t="s">
        <v>90</v>
      </c>
      <c r="E293" s="1"/>
      <c r="F293" s="650">
        <v>401.09</v>
      </c>
      <c r="G293" s="653" t="s">
        <v>71</v>
      </c>
      <c r="L293" s="654">
        <v>917.01</v>
      </c>
      <c r="M293" s="654" t="s">
        <v>37</v>
      </c>
      <c r="Q293" s="655" t="str">
        <f t="array" ref="Q293">IFERROR(IF(Geo_Area_of_Opp_boost="Yes",INDEX($L$23:$L$2323,SMALL(IF((County=$M$23:$M$2323),MATCH(ROW($M$23:$M$2323),ROW($M$23:$M$2323)),""),ROWS($A$23:A293))),""),"")</f>
        <v/>
      </c>
    </row>
    <row r="294" spans="1:17">
      <c r="A294" s="649">
        <v>33713</v>
      </c>
      <c r="B294" s="650" t="s">
        <v>90</v>
      </c>
      <c r="E294" s="1"/>
      <c r="F294" s="650">
        <v>401.22</v>
      </c>
      <c r="G294" s="653" t="s">
        <v>71</v>
      </c>
      <c r="L294" s="654">
        <v>919.01</v>
      </c>
      <c r="M294" s="654" t="s">
        <v>37</v>
      </c>
      <c r="Q294" s="655" t="str">
        <f t="array" ref="Q294">IFERROR(IF(Geo_Area_of_Opp_boost="Yes",INDEX($L$23:$L$2323,SMALL(IF((County=$M$23:$M$2323),MATCH(ROW($M$23:$M$2323),ROW($M$23:$M$2323)),""),ROWS($A$23:A294))),""),"")</f>
        <v/>
      </c>
    </row>
    <row r="295" spans="1:17">
      <c r="A295" s="649">
        <v>33715</v>
      </c>
      <c r="B295" s="650" t="s">
        <v>90</v>
      </c>
      <c r="E295" s="1"/>
      <c r="F295" s="650">
        <v>403.04</v>
      </c>
      <c r="G295" s="653" t="s">
        <v>71</v>
      </c>
      <c r="L295" s="654">
        <v>920</v>
      </c>
      <c r="M295" s="654" t="s">
        <v>37</v>
      </c>
      <c r="Q295" s="655" t="str">
        <f t="array" ref="Q295">IFERROR(IF(Geo_Area_of_Opp_boost="Yes",INDEX($L$23:$L$2323,SMALL(IF((County=$M$23:$M$2323),MATCH(ROW($M$23:$M$2323),ROW($M$23:$M$2323)),""),ROWS($A$23:A295))),""),"")</f>
        <v/>
      </c>
    </row>
    <row r="296" spans="1:17">
      <c r="A296" s="649">
        <v>33716</v>
      </c>
      <c r="B296" s="650" t="s">
        <v>90</v>
      </c>
      <c r="E296" s="1"/>
      <c r="F296" s="650">
        <v>403.05</v>
      </c>
      <c r="G296" s="653" t="s">
        <v>71</v>
      </c>
      <c r="L296" s="654">
        <v>1001.04</v>
      </c>
      <c r="M296" s="654" t="s">
        <v>37</v>
      </c>
      <c r="Q296" s="655" t="str">
        <f t="array" ref="Q296">IFERROR(IF(Geo_Area_of_Opp_boost="Yes",INDEX($L$23:$L$2323,SMALL(IF((County=$M$23:$M$2323),MATCH(ROW($M$23:$M$2323),ROW($M$23:$M$2323)),""),ROWS($A$23:A296))),""),"")</f>
        <v/>
      </c>
    </row>
    <row r="297" spans="1:17">
      <c r="A297" s="649">
        <v>33744</v>
      </c>
      <c r="B297" s="650" t="s">
        <v>90</v>
      </c>
      <c r="E297" s="1"/>
      <c r="F297" s="650">
        <v>403.08</v>
      </c>
      <c r="G297" s="653" t="s">
        <v>71</v>
      </c>
      <c r="L297" s="654">
        <v>1001.05</v>
      </c>
      <c r="M297" s="654" t="s">
        <v>37</v>
      </c>
      <c r="Q297" s="655" t="str">
        <f t="array" ref="Q297">IFERROR(IF(Geo_Area_of_Opp_boost="Yes",INDEX($L$23:$L$2323,SMALL(IF((County=$M$23:$M$2323),MATCH(ROW($M$23:$M$2323),ROW($M$23:$M$2323)),""),ROWS($A$23:A297))),""),"")</f>
        <v/>
      </c>
    </row>
    <row r="298" spans="1:17">
      <c r="A298" s="649">
        <v>33759</v>
      </c>
      <c r="B298" s="650" t="s">
        <v>90</v>
      </c>
      <c r="E298" s="1"/>
      <c r="F298" s="650">
        <v>403.11</v>
      </c>
      <c r="G298" s="653" t="s">
        <v>71</v>
      </c>
      <c r="L298" s="654">
        <v>1103.01</v>
      </c>
      <c r="M298" s="654" t="s">
        <v>37</v>
      </c>
      <c r="Q298" s="655" t="str">
        <f t="array" ref="Q298">IFERROR(IF(Geo_Area_of_Opp_boost="Yes",INDEX($L$23:$L$2323,SMALL(IF((County=$M$23:$M$2323),MATCH(ROW($M$23:$M$2323),ROW($M$23:$M$2323)),""),ROWS($A$23:A298))),""),"")</f>
        <v/>
      </c>
    </row>
    <row r="299" spans="1:17">
      <c r="A299" s="649">
        <v>33762</v>
      </c>
      <c r="B299" s="650" t="s">
        <v>90</v>
      </c>
      <c r="E299" s="1"/>
      <c r="F299" s="650">
        <v>4</v>
      </c>
      <c r="G299" s="653" t="s">
        <v>72</v>
      </c>
      <c r="L299" s="654">
        <v>1103.02</v>
      </c>
      <c r="M299" s="654" t="s">
        <v>37</v>
      </c>
      <c r="Q299" s="655" t="str">
        <f t="array" ref="Q299">IFERROR(IF(Geo_Area_of_Opp_boost="Yes",INDEX($L$23:$L$2323,SMALL(IF((County=$M$23:$M$2323),MATCH(ROW($M$23:$M$2323),ROW($M$23:$M$2323)),""),ROWS($A$23:A299))),""),"")</f>
        <v/>
      </c>
    </row>
    <row r="300" spans="1:17">
      <c r="A300" s="649">
        <v>33767</v>
      </c>
      <c r="B300" s="650" t="s">
        <v>90</v>
      </c>
      <c r="E300" s="1"/>
      <c r="F300" s="650">
        <v>5</v>
      </c>
      <c r="G300" s="653" t="s">
        <v>72</v>
      </c>
      <c r="L300" s="654">
        <v>1103.03</v>
      </c>
      <c r="M300" s="654" t="s">
        <v>37</v>
      </c>
      <c r="Q300" s="655" t="str">
        <f t="array" ref="Q300">IFERROR(IF(Geo_Area_of_Opp_boost="Yes",INDEX($L$23:$L$2323,SMALL(IF((County=$M$23:$M$2323),MATCH(ROW($M$23:$M$2323),ROW($M$23:$M$2323)),""),ROWS($A$23:A300))),""),"")</f>
        <v/>
      </c>
    </row>
    <row r="301" spans="1:17">
      <c r="A301" s="649">
        <v>33772</v>
      </c>
      <c r="B301" s="650" t="s">
        <v>90</v>
      </c>
      <c r="E301" s="1"/>
      <c r="F301" s="650">
        <v>6</v>
      </c>
      <c r="G301" s="653" t="s">
        <v>72</v>
      </c>
      <c r="L301" s="654">
        <v>1103.07</v>
      </c>
      <c r="M301" s="654" t="s">
        <v>37</v>
      </c>
      <c r="Q301" s="655" t="str">
        <f t="array" ref="Q301">IFERROR(IF(Geo_Area_of_Opp_boost="Yes",INDEX($L$23:$L$2323,SMALL(IF((County=$M$23:$M$2323),MATCH(ROW($M$23:$M$2323),ROW($M$23:$M$2323)),""),ROWS($A$23:A301))),""),"")</f>
        <v/>
      </c>
    </row>
    <row r="302" spans="1:17">
      <c r="A302" s="649">
        <v>33776</v>
      </c>
      <c r="B302" s="650" t="s">
        <v>90</v>
      </c>
      <c r="E302" s="1"/>
      <c r="F302" s="650">
        <v>10.01</v>
      </c>
      <c r="G302" s="653" t="s">
        <v>72</v>
      </c>
      <c r="L302" s="654">
        <v>1103.08</v>
      </c>
      <c r="M302" s="654" t="s">
        <v>37</v>
      </c>
      <c r="Q302" s="655" t="str">
        <f t="array" ref="Q302">IFERROR(IF(Geo_Area_of_Opp_boost="Yes",INDEX($L$23:$L$2323,SMALL(IF((County=$M$23:$M$2323),MATCH(ROW($M$23:$M$2323),ROW($M$23:$M$2323)),""),ROWS($A$23:A302))),""),"")</f>
        <v/>
      </c>
    </row>
    <row r="303" spans="1:17">
      <c r="A303" s="649">
        <v>33777</v>
      </c>
      <c r="B303" s="650" t="s">
        <v>90</v>
      </c>
      <c r="E303" s="1"/>
      <c r="F303" s="650">
        <v>10.02</v>
      </c>
      <c r="G303" s="653" t="s">
        <v>72</v>
      </c>
      <c r="L303" s="654">
        <v>1103.0899999999999</v>
      </c>
      <c r="M303" s="654" t="s">
        <v>37</v>
      </c>
      <c r="Q303" s="655" t="str">
        <f t="array" ref="Q303">IFERROR(IF(Geo_Area_of_Opp_boost="Yes",INDEX($L$23:$L$2323,SMALL(IF((County=$M$23:$M$2323),MATCH(ROW($M$23:$M$2323),ROW($M$23:$M$2323)),""),ROWS($A$23:A303))),""),"")</f>
        <v/>
      </c>
    </row>
    <row r="304" spans="1:17">
      <c r="A304" s="649">
        <v>33782</v>
      </c>
      <c r="B304" s="650" t="s">
        <v>90</v>
      </c>
      <c r="E304" s="1"/>
      <c r="F304" s="650">
        <v>11.01</v>
      </c>
      <c r="G304" s="653" t="s">
        <v>72</v>
      </c>
      <c r="L304" s="654">
        <v>1103.1099999999999</v>
      </c>
      <c r="M304" s="654" t="s">
        <v>37</v>
      </c>
      <c r="Q304" s="655" t="str">
        <f t="array" ref="Q304">IFERROR(IF(Geo_Area_of_Opp_boost="Yes",INDEX($L$23:$L$2323,SMALL(IF((County=$M$23:$M$2323),MATCH(ROW($M$23:$M$2323),ROW($M$23:$M$2323)),""),ROWS($A$23:A304))),""),"")</f>
        <v/>
      </c>
    </row>
    <row r="305" spans="1:17">
      <c r="A305" s="649">
        <v>33785</v>
      </c>
      <c r="B305" s="650" t="s">
        <v>90</v>
      </c>
      <c r="E305" s="1"/>
      <c r="F305" s="650">
        <v>12</v>
      </c>
      <c r="G305" s="653" t="s">
        <v>72</v>
      </c>
      <c r="L305" s="654">
        <v>1103.19</v>
      </c>
      <c r="M305" s="654" t="s">
        <v>37</v>
      </c>
      <c r="Q305" s="655" t="str">
        <f t="array" ref="Q305">IFERROR(IF(Geo_Area_of_Opp_boost="Yes",INDEX($L$23:$L$2323,SMALL(IF((County=$M$23:$M$2323),MATCH(ROW($M$23:$M$2323),ROW($M$23:$M$2323)),""),ROWS($A$23:A305))),""),"")</f>
        <v/>
      </c>
    </row>
    <row r="306" spans="1:17">
      <c r="A306" s="649">
        <v>33786</v>
      </c>
      <c r="B306" s="650" t="s">
        <v>90</v>
      </c>
      <c r="E306" s="1"/>
      <c r="F306" s="650">
        <v>14.01</v>
      </c>
      <c r="G306" s="653" t="s">
        <v>72</v>
      </c>
      <c r="L306" s="654">
        <v>1103.21</v>
      </c>
      <c r="M306" s="654" t="s">
        <v>37</v>
      </c>
      <c r="Q306" s="655" t="str">
        <f t="array" ref="Q306">IFERROR(IF(Geo_Area_of_Opp_boost="Yes",INDEX($L$23:$L$2323,SMALL(IF((County=$M$23:$M$2323),MATCH(ROW($M$23:$M$2323),ROW($M$23:$M$2323)),""),ROWS($A$23:A306))),""),"")</f>
        <v/>
      </c>
    </row>
    <row r="307" spans="1:17">
      <c r="A307" s="649">
        <v>34677</v>
      </c>
      <c r="B307" s="650" t="s">
        <v>90</v>
      </c>
      <c r="E307" s="1"/>
      <c r="F307" s="650">
        <v>14.02</v>
      </c>
      <c r="G307" s="653" t="s">
        <v>72</v>
      </c>
      <c r="L307" s="654">
        <v>1103.22</v>
      </c>
      <c r="M307" s="654" t="s">
        <v>37</v>
      </c>
      <c r="Q307" s="655" t="str">
        <f t="array" ref="Q307">IFERROR(IF(Geo_Area_of_Opp_boost="Yes",INDEX($L$23:$L$2323,SMALL(IF((County=$M$23:$M$2323),MATCH(ROW($M$23:$M$2323),ROW($M$23:$M$2323)),""),ROWS($A$23:A307))),""),"")</f>
        <v/>
      </c>
    </row>
    <row r="308" spans="1:17">
      <c r="A308" s="649">
        <v>34681</v>
      </c>
      <c r="B308" s="650" t="s">
        <v>90</v>
      </c>
      <c r="E308" s="1"/>
      <c r="F308" s="650">
        <v>18.010000000000002</v>
      </c>
      <c r="G308" s="653" t="s">
        <v>72</v>
      </c>
      <c r="L308" s="654">
        <v>1103.24</v>
      </c>
      <c r="M308" s="654" t="s">
        <v>37</v>
      </c>
      <c r="Q308" s="655" t="str">
        <f t="array" ref="Q308">IFERROR(IF(Geo_Area_of_Opp_boost="Yes",INDEX($L$23:$L$2323,SMALL(IF((County=$M$23:$M$2323),MATCH(ROW($M$23:$M$2323),ROW($M$23:$M$2323)),""),ROWS($A$23:A308))),""),"")</f>
        <v/>
      </c>
    </row>
    <row r="309" spans="1:17">
      <c r="A309" s="649">
        <v>34683</v>
      </c>
      <c r="B309" s="650" t="s">
        <v>90</v>
      </c>
      <c r="E309" s="1"/>
      <c r="F309" s="650">
        <v>19.010000000000002</v>
      </c>
      <c r="G309" s="653" t="s">
        <v>72</v>
      </c>
      <c r="L309" s="654">
        <v>1103.25</v>
      </c>
      <c r="M309" s="654" t="s">
        <v>37</v>
      </c>
      <c r="Q309" s="655" t="str">
        <f t="array" ref="Q309">IFERROR(IF(Geo_Area_of_Opp_boost="Yes",INDEX($L$23:$L$2323,SMALL(IF((County=$M$23:$M$2323),MATCH(ROW($M$23:$M$2323),ROW($M$23:$M$2323)),""),ROWS($A$23:A309))),""),"")</f>
        <v/>
      </c>
    </row>
    <row r="310" spans="1:17">
      <c r="A310" s="649">
        <v>34684</v>
      </c>
      <c r="B310" s="650" t="s">
        <v>90</v>
      </c>
      <c r="E310" s="1"/>
      <c r="F310" s="650">
        <v>19.02</v>
      </c>
      <c r="G310" s="653" t="s">
        <v>72</v>
      </c>
      <c r="L310" s="654">
        <v>1103.26</v>
      </c>
      <c r="M310" s="654" t="s">
        <v>37</v>
      </c>
      <c r="Q310" s="655" t="str">
        <f t="array" ref="Q310">IFERROR(IF(Geo_Area_of_Opp_boost="Yes",INDEX($L$23:$L$2323,SMALL(IF((County=$M$23:$M$2323),MATCH(ROW($M$23:$M$2323),ROW($M$23:$M$2323)),""),ROWS($A$23:A310))),""),"")</f>
        <v/>
      </c>
    </row>
    <row r="311" spans="1:17">
      <c r="A311" s="649">
        <v>34685</v>
      </c>
      <c r="B311" s="650" t="s">
        <v>90</v>
      </c>
      <c r="E311" s="1"/>
      <c r="F311" s="650">
        <v>20.03</v>
      </c>
      <c r="G311" s="653" t="s">
        <v>72</v>
      </c>
      <c r="L311" s="654">
        <v>1103.27</v>
      </c>
      <c r="M311" s="654" t="s">
        <v>37</v>
      </c>
      <c r="Q311" s="655" t="str">
        <f t="array" ref="Q311">IFERROR(IF(Geo_Area_of_Opp_boost="Yes",INDEX($L$23:$L$2323,SMALL(IF((County=$M$23:$M$2323),MATCH(ROW($M$23:$M$2323),ROW($M$23:$M$2323)),""),ROWS($A$23:A311))),""),"")</f>
        <v/>
      </c>
    </row>
    <row r="312" spans="1:17">
      <c r="A312" s="649">
        <v>34688</v>
      </c>
      <c r="B312" s="650" t="s">
        <v>90</v>
      </c>
      <c r="E312" s="1"/>
      <c r="F312" s="650">
        <v>20.04</v>
      </c>
      <c r="G312" s="653" t="s">
        <v>72</v>
      </c>
      <c r="L312" s="654">
        <v>1103.28</v>
      </c>
      <c r="M312" s="654" t="s">
        <v>37</v>
      </c>
    </row>
    <row r="313" spans="1:17">
      <c r="A313" s="649">
        <v>34695</v>
      </c>
      <c r="B313" s="650" t="s">
        <v>90</v>
      </c>
      <c r="E313" s="1"/>
      <c r="F313" s="650">
        <v>20.05</v>
      </c>
      <c r="G313" s="653" t="s">
        <v>72</v>
      </c>
      <c r="L313" s="654">
        <v>1103.3</v>
      </c>
      <c r="M313" s="654" t="s">
        <v>37</v>
      </c>
    </row>
    <row r="314" spans="1:17">
      <c r="A314" s="649">
        <v>34698</v>
      </c>
      <c r="B314" s="650" t="s">
        <v>90</v>
      </c>
      <c r="E314" s="1"/>
      <c r="F314" s="650">
        <v>20.059999999999999</v>
      </c>
      <c r="G314" s="653" t="s">
        <v>72</v>
      </c>
      <c r="L314" s="654">
        <v>1103.31</v>
      </c>
      <c r="M314" s="654" t="s">
        <v>37</v>
      </c>
    </row>
    <row r="315" spans="1:17">
      <c r="A315" s="649">
        <v>33803</v>
      </c>
      <c r="B315" s="650" t="s">
        <v>92</v>
      </c>
      <c r="E315" s="1"/>
      <c r="F315" s="650">
        <v>21.03</v>
      </c>
      <c r="G315" s="653" t="s">
        <v>72</v>
      </c>
      <c r="L315" s="654">
        <v>1103.32</v>
      </c>
      <c r="M315" s="654" t="s">
        <v>37</v>
      </c>
    </row>
    <row r="316" spans="1:17">
      <c r="A316" s="649">
        <v>33805</v>
      </c>
      <c r="B316" s="650" t="s">
        <v>92</v>
      </c>
      <c r="E316" s="1"/>
      <c r="F316" s="650">
        <v>21.04</v>
      </c>
      <c r="G316" s="653" t="s">
        <v>72</v>
      </c>
      <c r="L316" s="654">
        <v>1103.33</v>
      </c>
      <c r="M316" s="654" t="s">
        <v>37</v>
      </c>
    </row>
    <row r="317" spans="1:17">
      <c r="A317" s="649">
        <v>33809</v>
      </c>
      <c r="B317" s="650" t="s">
        <v>92</v>
      </c>
      <c r="E317" s="1"/>
      <c r="F317" s="650">
        <v>1.03</v>
      </c>
      <c r="G317" s="653" t="s">
        <v>76</v>
      </c>
      <c r="L317" s="654">
        <v>1103.3599999999999</v>
      </c>
      <c r="M317" s="654" t="s">
        <v>37</v>
      </c>
    </row>
    <row r="318" spans="1:17">
      <c r="A318" s="649">
        <v>33810</v>
      </c>
      <c r="B318" s="650" t="s">
        <v>92</v>
      </c>
      <c r="E318" s="1"/>
      <c r="F318" s="650">
        <v>1.05</v>
      </c>
      <c r="G318" s="653" t="s">
        <v>76</v>
      </c>
      <c r="L318" s="654">
        <v>1103.3699999999999</v>
      </c>
      <c r="M318" s="654" t="s">
        <v>37</v>
      </c>
    </row>
    <row r="319" spans="1:17">
      <c r="A319" s="649">
        <v>33811</v>
      </c>
      <c r="B319" s="650" t="s">
        <v>92</v>
      </c>
      <c r="E319" s="1"/>
      <c r="F319" s="650">
        <v>1.06</v>
      </c>
      <c r="G319" s="653" t="s">
        <v>76</v>
      </c>
      <c r="L319" s="654">
        <v>1103.3800000000001</v>
      </c>
      <c r="M319" s="654" t="s">
        <v>37</v>
      </c>
    </row>
    <row r="320" spans="1:17">
      <c r="A320" s="649">
        <v>33812</v>
      </c>
      <c r="B320" s="650" t="s">
        <v>92</v>
      </c>
      <c r="E320" s="1"/>
      <c r="F320" s="650">
        <v>2.0099999999999998</v>
      </c>
      <c r="G320" s="653" t="s">
        <v>76</v>
      </c>
      <c r="L320" s="654">
        <v>1103.3900000000001</v>
      </c>
      <c r="M320" s="654" t="s">
        <v>37</v>
      </c>
    </row>
    <row r="321" spans="1:13">
      <c r="A321" s="649">
        <v>33813</v>
      </c>
      <c r="B321" s="650" t="s">
        <v>92</v>
      </c>
      <c r="E321" s="1"/>
      <c r="F321" s="650">
        <v>2.02</v>
      </c>
      <c r="G321" s="653" t="s">
        <v>76</v>
      </c>
      <c r="L321" s="654">
        <v>1103.4000000000001</v>
      </c>
      <c r="M321" s="654" t="s">
        <v>37</v>
      </c>
    </row>
    <row r="322" spans="1:13">
      <c r="A322" s="649">
        <v>33837</v>
      </c>
      <c r="B322" s="650" t="s">
        <v>92</v>
      </c>
      <c r="E322" s="1"/>
      <c r="F322" s="650">
        <v>3.05</v>
      </c>
      <c r="G322" s="653" t="s">
        <v>76</v>
      </c>
      <c r="L322" s="654">
        <v>1103.42</v>
      </c>
      <c r="M322" s="654" t="s">
        <v>37</v>
      </c>
    </row>
    <row r="323" spans="1:13">
      <c r="A323" s="649">
        <v>33851</v>
      </c>
      <c r="B323" s="650" t="s">
        <v>92</v>
      </c>
      <c r="E323" s="1"/>
      <c r="F323" s="650">
        <v>3.06</v>
      </c>
      <c r="G323" s="653" t="s">
        <v>76</v>
      </c>
      <c r="L323" s="654">
        <v>1103.43</v>
      </c>
      <c r="M323" s="654" t="s">
        <v>37</v>
      </c>
    </row>
    <row r="324" spans="1:13">
      <c r="A324" s="649">
        <v>33884</v>
      </c>
      <c r="B324" s="650" t="s">
        <v>92</v>
      </c>
      <c r="E324" s="1"/>
      <c r="F324" s="650">
        <v>3.09</v>
      </c>
      <c r="G324" s="653" t="s">
        <v>76</v>
      </c>
      <c r="L324" s="654">
        <v>1104.02</v>
      </c>
      <c r="M324" s="654" t="s">
        <v>37</v>
      </c>
    </row>
    <row r="325" spans="1:13">
      <c r="A325" s="649">
        <v>33896</v>
      </c>
      <c r="B325" s="650" t="s">
        <v>92</v>
      </c>
      <c r="E325" s="1"/>
      <c r="F325" s="650">
        <v>3.1</v>
      </c>
      <c r="G325" s="653" t="s">
        <v>76</v>
      </c>
      <c r="L325" s="654">
        <v>1104.03</v>
      </c>
      <c r="M325" s="654" t="s">
        <v>37</v>
      </c>
    </row>
    <row r="326" spans="1:13">
      <c r="A326" s="649">
        <v>33897</v>
      </c>
      <c r="B326" s="650" t="s">
        <v>92</v>
      </c>
      <c r="E326" s="1"/>
      <c r="F326" s="650">
        <v>6.04</v>
      </c>
      <c r="G326" s="653" t="s">
        <v>76</v>
      </c>
      <c r="L326" s="654">
        <v>1106</v>
      </c>
      <c r="M326" s="654" t="s">
        <v>37</v>
      </c>
    </row>
    <row r="327" spans="1:13">
      <c r="A327" s="649">
        <v>34759</v>
      </c>
      <c r="B327" s="650" t="s">
        <v>92</v>
      </c>
      <c r="E327" s="1"/>
      <c r="F327" s="650">
        <v>7.04</v>
      </c>
      <c r="G327" s="653" t="s">
        <v>76</v>
      </c>
      <c r="L327" s="654">
        <v>101</v>
      </c>
      <c r="M327" s="654" t="s">
        <v>40</v>
      </c>
    </row>
    <row r="328" spans="1:13">
      <c r="A328" s="649">
        <v>32561</v>
      </c>
      <c r="B328" s="650" t="s">
        <v>96</v>
      </c>
      <c r="E328" s="1"/>
      <c r="F328" s="650">
        <v>7.05</v>
      </c>
      <c r="G328" s="653" t="s">
        <v>76</v>
      </c>
      <c r="L328" s="654">
        <v>103.01</v>
      </c>
      <c r="M328" s="654" t="s">
        <v>42</v>
      </c>
    </row>
    <row r="329" spans="1:13">
      <c r="A329" s="649">
        <v>32566</v>
      </c>
      <c r="B329" s="650" t="s">
        <v>96</v>
      </c>
      <c r="E329" s="1"/>
      <c r="F329" s="650">
        <v>15.02</v>
      </c>
      <c r="G329" s="653" t="s">
        <v>76</v>
      </c>
      <c r="L329" s="654">
        <v>104.01</v>
      </c>
      <c r="M329" s="654" t="s">
        <v>42</v>
      </c>
    </row>
    <row r="330" spans="1:13">
      <c r="A330" s="649">
        <v>34232</v>
      </c>
      <c r="B330" s="650" t="s">
        <v>97</v>
      </c>
      <c r="E330" s="1"/>
      <c r="F330" s="650">
        <v>2</v>
      </c>
      <c r="G330" s="653" t="s">
        <v>77</v>
      </c>
      <c r="L330" s="654">
        <v>104.02</v>
      </c>
      <c r="M330" s="654" t="s">
        <v>42</v>
      </c>
    </row>
    <row r="331" spans="1:13">
      <c r="A331" s="649">
        <v>34233</v>
      </c>
      <c r="B331" s="650" t="s">
        <v>97</v>
      </c>
      <c r="E331" s="1"/>
      <c r="F331" s="650">
        <v>3.02</v>
      </c>
      <c r="G331" s="653" t="s">
        <v>77</v>
      </c>
      <c r="L331" s="654">
        <v>104.03</v>
      </c>
      <c r="M331" s="654" t="s">
        <v>42</v>
      </c>
    </row>
    <row r="332" spans="1:13">
      <c r="A332" s="649">
        <v>34235</v>
      </c>
      <c r="B332" s="650" t="s">
        <v>97</v>
      </c>
      <c r="E332" s="1"/>
      <c r="F332" s="650">
        <v>4.01</v>
      </c>
      <c r="G332" s="653" t="s">
        <v>77</v>
      </c>
      <c r="L332" s="654">
        <v>104.04</v>
      </c>
      <c r="M332" s="654" t="s">
        <v>42</v>
      </c>
    </row>
    <row r="333" spans="1:13">
      <c r="A333" s="649">
        <v>34238</v>
      </c>
      <c r="B333" s="650" t="s">
        <v>97</v>
      </c>
      <c r="E333" s="1"/>
      <c r="F333" s="650">
        <v>4.0199999999999996</v>
      </c>
      <c r="G333" s="653" t="s">
        <v>77</v>
      </c>
      <c r="L333" s="654">
        <v>201.01</v>
      </c>
      <c r="M333" s="654" t="s">
        <v>42</v>
      </c>
    </row>
    <row r="334" spans="1:13">
      <c r="A334" s="649">
        <v>34240</v>
      </c>
      <c r="B334" s="650" t="s">
        <v>97</v>
      </c>
      <c r="E334" s="1"/>
      <c r="F334" s="650">
        <v>5.0199999999999996</v>
      </c>
      <c r="G334" s="653" t="s">
        <v>77</v>
      </c>
      <c r="L334" s="654">
        <v>201.03</v>
      </c>
      <c r="M334" s="654" t="s">
        <v>42</v>
      </c>
    </row>
    <row r="335" spans="1:13">
      <c r="A335" s="649">
        <v>34241</v>
      </c>
      <c r="B335" s="650" t="s">
        <v>97</v>
      </c>
      <c r="E335" s="1"/>
      <c r="F335" s="650">
        <v>6.04</v>
      </c>
      <c r="G335" s="653" t="s">
        <v>77</v>
      </c>
      <c r="L335" s="654">
        <v>201.04</v>
      </c>
      <c r="M335" s="654" t="s">
        <v>42</v>
      </c>
    </row>
    <row r="336" spans="1:13">
      <c r="A336" s="649">
        <v>34242</v>
      </c>
      <c r="B336" s="650" t="s">
        <v>97</v>
      </c>
      <c r="E336" s="1"/>
      <c r="F336" s="650">
        <v>6.05</v>
      </c>
      <c r="G336" s="653" t="s">
        <v>77</v>
      </c>
      <c r="L336" s="654">
        <v>202.01</v>
      </c>
      <c r="M336" s="654" t="s">
        <v>42</v>
      </c>
    </row>
    <row r="337" spans="1:13">
      <c r="A337" s="649">
        <v>34286</v>
      </c>
      <c r="B337" s="650" t="s">
        <v>97</v>
      </c>
      <c r="E337" s="1"/>
      <c r="F337" s="650">
        <v>14.01</v>
      </c>
      <c r="G337" s="653" t="s">
        <v>77</v>
      </c>
      <c r="L337" s="654">
        <v>202.02</v>
      </c>
      <c r="M337" s="654" t="s">
        <v>42</v>
      </c>
    </row>
    <row r="338" spans="1:13">
      <c r="A338" s="649">
        <v>34288</v>
      </c>
      <c r="B338" s="650" t="s">
        <v>97</v>
      </c>
      <c r="E338" s="1"/>
      <c r="F338" s="650">
        <v>15</v>
      </c>
      <c r="G338" s="653" t="s">
        <v>77</v>
      </c>
      <c r="L338" s="654">
        <v>204</v>
      </c>
      <c r="M338" s="654" t="s">
        <v>42</v>
      </c>
    </row>
    <row r="339" spans="1:13">
      <c r="A339" s="649">
        <v>34291</v>
      </c>
      <c r="B339" s="650" t="s">
        <v>97</v>
      </c>
      <c r="E339" s="1"/>
      <c r="F339" s="650">
        <v>16</v>
      </c>
      <c r="G339" s="653" t="s">
        <v>77</v>
      </c>
      <c r="L339" s="654">
        <v>205.01</v>
      </c>
      <c r="M339" s="654" t="s">
        <v>42</v>
      </c>
    </row>
    <row r="340" spans="1:13">
      <c r="A340" s="649">
        <v>34292</v>
      </c>
      <c r="B340" s="650" t="s">
        <v>97</v>
      </c>
      <c r="E340" s="1"/>
      <c r="F340" s="650">
        <v>17</v>
      </c>
      <c r="G340" s="653" t="s">
        <v>77</v>
      </c>
      <c r="L340" s="654">
        <v>205.02</v>
      </c>
      <c r="M340" s="654" t="s">
        <v>42</v>
      </c>
    </row>
    <row r="341" spans="1:13">
      <c r="A341" s="649">
        <v>34293</v>
      </c>
      <c r="B341" s="650" t="s">
        <v>97</v>
      </c>
      <c r="E341" s="1"/>
      <c r="F341" s="650">
        <v>18</v>
      </c>
      <c r="G341" s="653" t="s">
        <v>77</v>
      </c>
      <c r="L341" s="654">
        <v>209</v>
      </c>
      <c r="M341" s="654" t="s">
        <v>42</v>
      </c>
    </row>
    <row r="342" spans="1:13">
      <c r="A342" s="649">
        <v>32701</v>
      </c>
      <c r="B342" s="650" t="s">
        <v>98</v>
      </c>
      <c r="E342" s="1"/>
      <c r="F342" s="650">
        <v>19</v>
      </c>
      <c r="G342" s="653" t="s">
        <v>77</v>
      </c>
      <c r="L342" s="654">
        <v>210.01</v>
      </c>
      <c r="M342" s="654" t="s">
        <v>42</v>
      </c>
    </row>
    <row r="343" spans="1:13">
      <c r="A343" s="649">
        <v>32707</v>
      </c>
      <c r="B343" s="650" t="s">
        <v>98</v>
      </c>
      <c r="E343" s="1"/>
      <c r="F343" s="650">
        <v>20.010000000000002</v>
      </c>
      <c r="G343" s="653" t="s">
        <v>77</v>
      </c>
      <c r="L343" s="654">
        <v>210.03</v>
      </c>
      <c r="M343" s="654" t="s">
        <v>42</v>
      </c>
    </row>
    <row r="344" spans="1:13">
      <c r="A344" s="649">
        <v>32708</v>
      </c>
      <c r="B344" s="650" t="s">
        <v>98</v>
      </c>
      <c r="E344" s="1"/>
      <c r="F344" s="650">
        <v>25.04</v>
      </c>
      <c r="G344" s="653" t="s">
        <v>77</v>
      </c>
      <c r="L344" s="654">
        <v>304.01</v>
      </c>
      <c r="M344" s="654" t="s">
        <v>42</v>
      </c>
    </row>
    <row r="345" spans="1:13">
      <c r="A345" s="649">
        <v>32714</v>
      </c>
      <c r="B345" s="650" t="s">
        <v>98</v>
      </c>
      <c r="E345" s="1"/>
      <c r="F345" s="650">
        <v>8</v>
      </c>
      <c r="G345" s="653" t="s">
        <v>78</v>
      </c>
      <c r="L345" s="654">
        <v>304.02</v>
      </c>
      <c r="M345" s="654" t="s">
        <v>42</v>
      </c>
    </row>
    <row r="346" spans="1:13">
      <c r="A346" s="649">
        <v>32732</v>
      </c>
      <c r="B346" s="650" t="s">
        <v>98</v>
      </c>
      <c r="E346" s="1"/>
      <c r="F346" s="650">
        <v>12</v>
      </c>
      <c r="G346" s="653" t="s">
        <v>78</v>
      </c>
      <c r="L346" s="654">
        <v>305.01</v>
      </c>
      <c r="M346" s="654" t="s">
        <v>42</v>
      </c>
    </row>
    <row r="347" spans="1:13">
      <c r="A347" s="649">
        <v>32746</v>
      </c>
      <c r="B347" s="650" t="s">
        <v>98</v>
      </c>
      <c r="E347" s="1"/>
      <c r="F347" s="650">
        <v>14.07</v>
      </c>
      <c r="G347" s="653" t="s">
        <v>78</v>
      </c>
      <c r="L347" s="654">
        <v>305.02999999999997</v>
      </c>
      <c r="M347" s="654" t="s">
        <v>42</v>
      </c>
    </row>
    <row r="348" spans="1:13">
      <c r="A348" s="649">
        <v>32750</v>
      </c>
      <c r="B348" s="650" t="s">
        <v>98</v>
      </c>
      <c r="E348" s="1"/>
      <c r="F348" s="650">
        <v>18.010000000000002</v>
      </c>
      <c r="G348" s="653" t="s">
        <v>78</v>
      </c>
      <c r="L348" s="654">
        <v>4501.01</v>
      </c>
      <c r="M348" s="654" t="s">
        <v>43</v>
      </c>
    </row>
    <row r="349" spans="1:13">
      <c r="A349" s="649">
        <v>32765</v>
      </c>
      <c r="B349" s="650" t="s">
        <v>98</v>
      </c>
      <c r="E349" s="1"/>
      <c r="F349" s="650">
        <v>1.0900000000000001</v>
      </c>
      <c r="G349" s="653" t="s">
        <v>79</v>
      </c>
      <c r="L349" s="654">
        <v>4503.0200000000004</v>
      </c>
      <c r="M349" s="654" t="s">
        <v>43</v>
      </c>
    </row>
    <row r="350" spans="1:13">
      <c r="A350" s="649">
        <v>32766</v>
      </c>
      <c r="B350" s="650" t="s">
        <v>98</v>
      </c>
      <c r="E350" s="1"/>
      <c r="F350" s="650">
        <v>1.26</v>
      </c>
      <c r="G350" s="653" t="s">
        <v>79</v>
      </c>
      <c r="L350" s="654">
        <v>4503.04</v>
      </c>
      <c r="M350" s="654" t="s">
        <v>43</v>
      </c>
    </row>
    <row r="351" spans="1:13">
      <c r="A351" s="649">
        <v>32779</v>
      </c>
      <c r="B351" s="650" t="s">
        <v>98</v>
      </c>
      <c r="E351" s="1"/>
      <c r="F351" s="650">
        <v>2.06</v>
      </c>
      <c r="G351" s="653" t="s">
        <v>79</v>
      </c>
      <c r="L351" s="654">
        <v>4504</v>
      </c>
      <c r="M351" s="654" t="s">
        <v>43</v>
      </c>
    </row>
    <row r="352" spans="1:13">
      <c r="A352" s="649">
        <v>32081</v>
      </c>
      <c r="B352" s="650" t="s">
        <v>94</v>
      </c>
      <c r="E352" s="1"/>
      <c r="F352" s="650">
        <v>2.09</v>
      </c>
      <c r="G352" s="653" t="s">
        <v>79</v>
      </c>
      <c r="L352" s="654">
        <v>4505</v>
      </c>
      <c r="M352" s="654" t="s">
        <v>43</v>
      </c>
    </row>
    <row r="353" spans="1:13">
      <c r="A353" s="649">
        <v>32082</v>
      </c>
      <c r="B353" s="650" t="s">
        <v>94</v>
      </c>
      <c r="E353" s="1"/>
      <c r="F353" s="650">
        <v>2.12</v>
      </c>
      <c r="G353" s="653" t="s">
        <v>79</v>
      </c>
      <c r="L353" s="654">
        <v>4506.01</v>
      </c>
      <c r="M353" s="654" t="s">
        <v>43</v>
      </c>
    </row>
    <row r="354" spans="1:13">
      <c r="A354" s="649">
        <v>32092</v>
      </c>
      <c r="B354" s="650" t="s">
        <v>94</v>
      </c>
      <c r="E354" s="1"/>
      <c r="F354" s="650">
        <v>2.17</v>
      </c>
      <c r="G354" s="653" t="s">
        <v>79</v>
      </c>
      <c r="L354" s="654">
        <v>4507.01</v>
      </c>
      <c r="M354" s="654" t="s">
        <v>43</v>
      </c>
    </row>
    <row r="355" spans="1:13">
      <c r="A355" s="649">
        <v>32259</v>
      </c>
      <c r="B355" s="650" t="s">
        <v>94</v>
      </c>
      <c r="E355" s="1"/>
      <c r="F355" s="650">
        <v>2.1800000000000002</v>
      </c>
      <c r="G355" s="653" t="s">
        <v>79</v>
      </c>
      <c r="L355" s="654">
        <v>4509.01</v>
      </c>
      <c r="M355" s="654" t="s">
        <v>43</v>
      </c>
    </row>
    <row r="356" spans="1:13">
      <c r="A356" s="649">
        <v>34952</v>
      </c>
      <c r="B356" s="650" t="s">
        <v>95</v>
      </c>
      <c r="F356" s="650">
        <v>2.19</v>
      </c>
      <c r="G356" s="653" t="s">
        <v>79</v>
      </c>
      <c r="L356" s="654">
        <v>4509.0200000000004</v>
      </c>
      <c r="M356" s="654" t="s">
        <v>43</v>
      </c>
    </row>
    <row r="357" spans="1:13">
      <c r="A357" s="649">
        <v>34953</v>
      </c>
      <c r="B357" s="650" t="s">
        <v>95</v>
      </c>
      <c r="F357" s="650">
        <v>2.2000000000000002</v>
      </c>
      <c r="G357" s="653" t="s">
        <v>79</v>
      </c>
      <c r="L357" s="654">
        <v>4510</v>
      </c>
      <c r="M357" s="654" t="s">
        <v>43</v>
      </c>
    </row>
    <row r="358" spans="1:13">
      <c r="A358" s="649">
        <v>34983</v>
      </c>
      <c r="B358" s="650" t="s">
        <v>95</v>
      </c>
      <c r="F358" s="650">
        <v>3.05</v>
      </c>
      <c r="G358" s="653" t="s">
        <v>79</v>
      </c>
      <c r="L358" s="654">
        <v>4511.01</v>
      </c>
      <c r="M358" s="654" t="s">
        <v>43</v>
      </c>
    </row>
    <row r="359" spans="1:13">
      <c r="A359" s="649">
        <v>34984</v>
      </c>
      <c r="B359" s="650" t="s">
        <v>95</v>
      </c>
      <c r="F359" s="650">
        <v>3.06</v>
      </c>
      <c r="G359" s="653" t="s">
        <v>79</v>
      </c>
      <c r="L359" s="654">
        <v>4516.01</v>
      </c>
      <c r="M359" s="654" t="s">
        <v>43</v>
      </c>
    </row>
    <row r="360" spans="1:13">
      <c r="A360" s="649">
        <v>34986</v>
      </c>
      <c r="B360" s="650" t="s">
        <v>95</v>
      </c>
      <c r="F360" s="650">
        <v>4.0199999999999996</v>
      </c>
      <c r="G360" s="653" t="s">
        <v>79</v>
      </c>
      <c r="L360" s="654">
        <v>4516.0200000000004</v>
      </c>
      <c r="M360" s="654" t="s">
        <v>43</v>
      </c>
    </row>
    <row r="361" spans="1:13">
      <c r="A361" s="649">
        <v>34987</v>
      </c>
      <c r="B361" s="650" t="s">
        <v>95</v>
      </c>
      <c r="F361" s="650">
        <v>4.03</v>
      </c>
      <c r="G361" s="653" t="s">
        <v>79</v>
      </c>
      <c r="L361" s="654">
        <v>4517</v>
      </c>
      <c r="M361" s="654" t="s">
        <v>43</v>
      </c>
    </row>
    <row r="362" spans="1:13">
      <c r="A362" s="649">
        <v>32162</v>
      </c>
      <c r="B362" s="650" t="s">
        <v>99</v>
      </c>
      <c r="F362" s="650">
        <v>4.08</v>
      </c>
      <c r="G362" s="653" t="s">
        <v>79</v>
      </c>
      <c r="L362" s="654">
        <v>302.01</v>
      </c>
      <c r="M362" s="654" t="s">
        <v>44</v>
      </c>
    </row>
    <row r="363" spans="1:13">
      <c r="A363" s="649">
        <v>32124</v>
      </c>
      <c r="B363" s="650" t="s">
        <v>103</v>
      </c>
      <c r="F363" s="650">
        <v>4.1100000000000003</v>
      </c>
      <c r="G363" s="653" t="s">
        <v>79</v>
      </c>
      <c r="L363" s="654">
        <v>302.02</v>
      </c>
      <c r="M363" s="654" t="s">
        <v>44</v>
      </c>
    </row>
    <row r="364" spans="1:13">
      <c r="A364" s="649">
        <v>32128</v>
      </c>
      <c r="B364" s="650" t="s">
        <v>103</v>
      </c>
      <c r="F364" s="650">
        <v>4.12</v>
      </c>
      <c r="G364" s="653" t="s">
        <v>79</v>
      </c>
      <c r="L364" s="654">
        <v>302.02999999999997</v>
      </c>
      <c r="M364" s="654" t="s">
        <v>44</v>
      </c>
    </row>
    <row r="365" spans="1:13">
      <c r="A365" s="649">
        <v>32129</v>
      </c>
      <c r="B365" s="650" t="s">
        <v>103</v>
      </c>
      <c r="F365" s="650">
        <v>4.1399999999999997</v>
      </c>
      <c r="G365" s="653" t="s">
        <v>79</v>
      </c>
      <c r="L365" s="654">
        <v>303.01</v>
      </c>
      <c r="M365" s="654" t="s">
        <v>44</v>
      </c>
    </row>
    <row r="366" spans="1:13">
      <c r="A366" s="649">
        <v>32169</v>
      </c>
      <c r="B366" s="650" t="s">
        <v>103</v>
      </c>
      <c r="F366" s="650">
        <v>5.01</v>
      </c>
      <c r="G366" s="653" t="s">
        <v>79</v>
      </c>
      <c r="L366" s="654">
        <v>303.02999999999997</v>
      </c>
      <c r="M366" s="654" t="s">
        <v>44</v>
      </c>
    </row>
    <row r="367" spans="1:13">
      <c r="A367" s="649">
        <v>32176</v>
      </c>
      <c r="B367" s="650" t="s">
        <v>103</v>
      </c>
      <c r="F367" s="650">
        <v>5.03</v>
      </c>
      <c r="G367" s="653" t="s">
        <v>79</v>
      </c>
      <c r="L367" s="654">
        <v>307.01</v>
      </c>
      <c r="M367" s="654" t="s">
        <v>44</v>
      </c>
    </row>
    <row r="368" spans="1:13">
      <c r="A368" s="649">
        <v>32725</v>
      </c>
      <c r="B368" s="650" t="s">
        <v>103</v>
      </c>
      <c r="F368" s="650">
        <v>5.04</v>
      </c>
      <c r="G368" s="653" t="s">
        <v>79</v>
      </c>
      <c r="L368" s="654">
        <v>307.02</v>
      </c>
      <c r="M368" s="654" t="s">
        <v>44</v>
      </c>
    </row>
    <row r="369" spans="1:13">
      <c r="A369" s="649">
        <v>32459</v>
      </c>
      <c r="B369" s="650" t="s">
        <v>105</v>
      </c>
      <c r="F369" s="650">
        <v>5.05</v>
      </c>
      <c r="G369" s="653" t="s">
        <v>79</v>
      </c>
      <c r="L369" s="654">
        <v>307.02999999999997</v>
      </c>
      <c r="M369" s="654" t="s">
        <v>44</v>
      </c>
    </row>
    <row r="370" spans="1:13">
      <c r="A370" s="649">
        <v>32550</v>
      </c>
      <c r="B370" s="650" t="s">
        <v>105</v>
      </c>
      <c r="F370" s="650">
        <v>6.01</v>
      </c>
      <c r="G370" s="653" t="s">
        <v>79</v>
      </c>
      <c r="L370" s="654">
        <v>308.01</v>
      </c>
      <c r="M370" s="654" t="s">
        <v>44</v>
      </c>
    </row>
    <row r="371" spans="1:13">
      <c r="F371" s="650">
        <v>6.02</v>
      </c>
      <c r="G371" s="653" t="s">
        <v>79</v>
      </c>
      <c r="L371" s="654">
        <v>308.02</v>
      </c>
      <c r="M371" s="654" t="s">
        <v>44</v>
      </c>
    </row>
    <row r="372" spans="1:13">
      <c r="F372" s="650">
        <v>6.03</v>
      </c>
      <c r="G372" s="653" t="s">
        <v>79</v>
      </c>
      <c r="L372" s="654">
        <v>309.02</v>
      </c>
      <c r="M372" s="654" t="s">
        <v>44</v>
      </c>
    </row>
    <row r="373" spans="1:13">
      <c r="F373" s="650">
        <v>6.05</v>
      </c>
      <c r="G373" s="653" t="s">
        <v>79</v>
      </c>
      <c r="L373" s="654">
        <v>309.04000000000002</v>
      </c>
      <c r="M373" s="654" t="s">
        <v>44</v>
      </c>
    </row>
    <row r="374" spans="1:13">
      <c r="F374" s="650">
        <v>6.08</v>
      </c>
      <c r="G374" s="653" t="s">
        <v>79</v>
      </c>
      <c r="L374" s="654">
        <v>311.07</v>
      </c>
      <c r="M374" s="654" t="s">
        <v>44</v>
      </c>
    </row>
    <row r="375" spans="1:13">
      <c r="F375" s="650">
        <v>7.05</v>
      </c>
      <c r="G375" s="653" t="s">
        <v>79</v>
      </c>
      <c r="L375" s="654">
        <v>312</v>
      </c>
      <c r="M375" s="654" t="s">
        <v>44</v>
      </c>
    </row>
    <row r="376" spans="1:13">
      <c r="F376" s="650">
        <v>7.06</v>
      </c>
      <c r="G376" s="653" t="s">
        <v>79</v>
      </c>
      <c r="L376" s="654">
        <v>1.01</v>
      </c>
      <c r="M376" s="654" t="s">
        <v>45</v>
      </c>
    </row>
    <row r="377" spans="1:13">
      <c r="F377" s="650">
        <v>7.08</v>
      </c>
      <c r="G377" s="653" t="s">
        <v>79</v>
      </c>
      <c r="L377" s="654">
        <v>1.02</v>
      </c>
      <c r="M377" s="654" t="s">
        <v>45</v>
      </c>
    </row>
    <row r="378" spans="1:13">
      <c r="F378" s="650">
        <v>7.09</v>
      </c>
      <c r="G378" s="653" t="s">
        <v>79</v>
      </c>
      <c r="L378" s="654">
        <v>2</v>
      </c>
      <c r="M378" s="654" t="s">
        <v>45</v>
      </c>
    </row>
    <row r="379" spans="1:13">
      <c r="F379" s="650">
        <v>7.1</v>
      </c>
      <c r="G379" s="653" t="s">
        <v>79</v>
      </c>
      <c r="L379" s="654">
        <v>3.01</v>
      </c>
      <c r="M379" s="654" t="s">
        <v>45</v>
      </c>
    </row>
    <row r="380" spans="1:13">
      <c r="F380" s="650">
        <v>7.11</v>
      </c>
      <c r="G380" s="653" t="s">
        <v>79</v>
      </c>
      <c r="L380" s="654">
        <v>3.02</v>
      </c>
      <c r="M380" s="654" t="s">
        <v>45</v>
      </c>
    </row>
    <row r="381" spans="1:13">
      <c r="F381" s="650">
        <v>7.12</v>
      </c>
      <c r="G381" s="653" t="s">
        <v>79</v>
      </c>
      <c r="L381" s="654">
        <v>4.01</v>
      </c>
      <c r="M381" s="654" t="s">
        <v>45</v>
      </c>
    </row>
    <row r="382" spans="1:13">
      <c r="F382" s="650">
        <v>8.0399999999999991</v>
      </c>
      <c r="G382" s="653" t="s">
        <v>79</v>
      </c>
      <c r="L382" s="654">
        <v>4.0199999999999996</v>
      </c>
      <c r="M382" s="654" t="s">
        <v>45</v>
      </c>
    </row>
    <row r="383" spans="1:13">
      <c r="F383" s="650">
        <v>8.0500000000000007</v>
      </c>
      <c r="G383" s="653" t="s">
        <v>79</v>
      </c>
      <c r="L383" s="654">
        <v>5</v>
      </c>
      <c r="M383" s="654" t="s">
        <v>45</v>
      </c>
    </row>
    <row r="384" spans="1:13">
      <c r="F384" s="650">
        <v>8.06</v>
      </c>
      <c r="G384" s="653" t="s">
        <v>79</v>
      </c>
      <c r="L384" s="654">
        <v>6</v>
      </c>
      <c r="M384" s="654" t="s">
        <v>45</v>
      </c>
    </row>
    <row r="385" spans="6:13">
      <c r="F385" s="650">
        <v>8.07</v>
      </c>
      <c r="G385" s="653" t="s">
        <v>79</v>
      </c>
      <c r="L385" s="654">
        <v>101.02</v>
      </c>
      <c r="M385" s="654" t="s">
        <v>45</v>
      </c>
    </row>
    <row r="386" spans="6:13">
      <c r="F386" s="650">
        <v>8.08</v>
      </c>
      <c r="G386" s="653" t="s">
        <v>79</v>
      </c>
      <c r="L386" s="654">
        <v>101.05</v>
      </c>
      <c r="M386" s="654" t="s">
        <v>45</v>
      </c>
    </row>
    <row r="387" spans="6:13">
      <c r="F387" s="650">
        <v>9.02</v>
      </c>
      <c r="G387" s="653" t="s">
        <v>79</v>
      </c>
      <c r="L387" s="654">
        <v>101.06</v>
      </c>
      <c r="M387" s="654" t="s">
        <v>45</v>
      </c>
    </row>
    <row r="388" spans="6:13">
      <c r="F388" s="650">
        <v>9.0299999999999994</v>
      </c>
      <c r="G388" s="653" t="s">
        <v>79</v>
      </c>
      <c r="L388" s="654">
        <v>101.07</v>
      </c>
      <c r="M388" s="654" t="s">
        <v>45</v>
      </c>
    </row>
    <row r="389" spans="6:13">
      <c r="F389" s="650">
        <v>10.02</v>
      </c>
      <c r="G389" s="653" t="s">
        <v>79</v>
      </c>
      <c r="L389" s="654">
        <v>101.08</v>
      </c>
      <c r="M389" s="654" t="s">
        <v>45</v>
      </c>
    </row>
    <row r="390" spans="6:13">
      <c r="F390" s="650">
        <v>10.029999999999999</v>
      </c>
      <c r="G390" s="653" t="s">
        <v>79</v>
      </c>
      <c r="L390" s="654">
        <v>101.09</v>
      </c>
      <c r="M390" s="654" t="s">
        <v>45</v>
      </c>
    </row>
    <row r="391" spans="6:13">
      <c r="F391" s="650">
        <v>10.039999999999999</v>
      </c>
      <c r="G391" s="653" t="s">
        <v>79</v>
      </c>
      <c r="L391" s="654">
        <v>102.05</v>
      </c>
      <c r="M391" s="654" t="s">
        <v>45</v>
      </c>
    </row>
    <row r="392" spans="6:13">
      <c r="F392" s="650">
        <v>10.050000000000001</v>
      </c>
      <c r="G392" s="653" t="s">
        <v>79</v>
      </c>
      <c r="L392" s="654">
        <v>102.08</v>
      </c>
      <c r="M392" s="654" t="s">
        <v>45</v>
      </c>
    </row>
    <row r="393" spans="6:13">
      <c r="F393" s="650">
        <v>10.06</v>
      </c>
      <c r="G393" s="653" t="s">
        <v>79</v>
      </c>
      <c r="L393" s="654">
        <v>102.09</v>
      </c>
      <c r="M393" s="654" t="s">
        <v>45</v>
      </c>
    </row>
    <row r="394" spans="6:13">
      <c r="F394" s="650">
        <v>11.03</v>
      </c>
      <c r="G394" s="653" t="s">
        <v>79</v>
      </c>
      <c r="L394" s="654">
        <v>102.1</v>
      </c>
      <c r="M394" s="654" t="s">
        <v>45</v>
      </c>
    </row>
    <row r="395" spans="6:13">
      <c r="F395" s="650">
        <v>12.03</v>
      </c>
      <c r="G395" s="653" t="s">
        <v>79</v>
      </c>
      <c r="L395" s="654">
        <v>102.11</v>
      </c>
      <c r="M395" s="654" t="s">
        <v>45</v>
      </c>
    </row>
    <row r="396" spans="6:13">
      <c r="F396" s="650">
        <v>13.01</v>
      </c>
      <c r="G396" s="653" t="s">
        <v>79</v>
      </c>
      <c r="L396" s="654">
        <v>102.12</v>
      </c>
      <c r="M396" s="654" t="s">
        <v>45</v>
      </c>
    </row>
    <row r="397" spans="6:13">
      <c r="F397" s="650">
        <v>14.01</v>
      </c>
      <c r="G397" s="653" t="s">
        <v>79</v>
      </c>
      <c r="L397" s="654">
        <v>102.13</v>
      </c>
      <c r="M397" s="654" t="s">
        <v>45</v>
      </c>
    </row>
    <row r="398" spans="6:13">
      <c r="F398" s="650">
        <v>14.02</v>
      </c>
      <c r="G398" s="653" t="s">
        <v>79</v>
      </c>
      <c r="L398" s="654">
        <v>102.15</v>
      </c>
      <c r="M398" s="654" t="s">
        <v>45</v>
      </c>
    </row>
    <row r="399" spans="6:13">
      <c r="F399" s="650">
        <v>15.01</v>
      </c>
      <c r="G399" s="653" t="s">
        <v>79</v>
      </c>
      <c r="L399" s="654">
        <v>104.01</v>
      </c>
      <c r="M399" s="654" t="s">
        <v>45</v>
      </c>
    </row>
    <row r="400" spans="6:13">
      <c r="F400" s="650">
        <v>15.02</v>
      </c>
      <c r="G400" s="653" t="s">
        <v>79</v>
      </c>
      <c r="L400" s="654">
        <v>104.05</v>
      </c>
      <c r="M400" s="654" t="s">
        <v>45</v>
      </c>
    </row>
    <row r="401" spans="6:13">
      <c r="F401" s="650">
        <v>16.05</v>
      </c>
      <c r="G401" s="653" t="s">
        <v>79</v>
      </c>
      <c r="L401" s="654">
        <v>104.08</v>
      </c>
      <c r="M401" s="654" t="s">
        <v>45</v>
      </c>
    </row>
    <row r="402" spans="6:13">
      <c r="F402" s="650">
        <v>16.059999999999999</v>
      </c>
      <c r="G402" s="653" t="s">
        <v>79</v>
      </c>
      <c r="L402" s="654">
        <v>104.12</v>
      </c>
      <c r="M402" s="654" t="s">
        <v>45</v>
      </c>
    </row>
    <row r="403" spans="6:13">
      <c r="F403" s="650">
        <v>17.010000000000002</v>
      </c>
      <c r="G403" s="653" t="s">
        <v>79</v>
      </c>
      <c r="L403" s="654">
        <v>104.13</v>
      </c>
      <c r="M403" s="654" t="s">
        <v>45</v>
      </c>
    </row>
    <row r="404" spans="6:13">
      <c r="F404" s="650">
        <v>17.02</v>
      </c>
      <c r="G404" s="653" t="s">
        <v>79</v>
      </c>
      <c r="L404" s="654">
        <v>104.14</v>
      </c>
      <c r="M404" s="654" t="s">
        <v>45</v>
      </c>
    </row>
    <row r="405" spans="6:13">
      <c r="F405" s="650">
        <v>17.03</v>
      </c>
      <c r="G405" s="653" t="s">
        <v>79</v>
      </c>
      <c r="L405" s="654">
        <v>104.15</v>
      </c>
      <c r="M405" s="654" t="s">
        <v>45</v>
      </c>
    </row>
    <row r="406" spans="6:13">
      <c r="F406" s="650">
        <v>18.010000000000002</v>
      </c>
      <c r="G406" s="653" t="s">
        <v>79</v>
      </c>
      <c r="L406" s="654">
        <v>104.16</v>
      </c>
      <c r="M406" s="654" t="s">
        <v>45</v>
      </c>
    </row>
    <row r="407" spans="6:13">
      <c r="F407" s="650">
        <v>18.02</v>
      </c>
      <c r="G407" s="653" t="s">
        <v>79</v>
      </c>
      <c r="L407" s="654">
        <v>104.17</v>
      </c>
      <c r="M407" s="654" t="s">
        <v>45</v>
      </c>
    </row>
    <row r="408" spans="6:13">
      <c r="F408" s="650">
        <v>18.03</v>
      </c>
      <c r="G408" s="653" t="s">
        <v>79</v>
      </c>
      <c r="L408" s="654">
        <v>104.18</v>
      </c>
      <c r="M408" s="654" t="s">
        <v>45</v>
      </c>
    </row>
    <row r="409" spans="6:13">
      <c r="F409" s="650">
        <v>19.010000000000002</v>
      </c>
      <c r="G409" s="653" t="s">
        <v>79</v>
      </c>
      <c r="L409" s="654">
        <v>105.09</v>
      </c>
      <c r="M409" s="654" t="s">
        <v>45</v>
      </c>
    </row>
    <row r="410" spans="6:13">
      <c r="F410" s="650">
        <v>19.03</v>
      </c>
      <c r="G410" s="653" t="s">
        <v>79</v>
      </c>
      <c r="L410" s="654">
        <v>106.06</v>
      </c>
      <c r="M410" s="654" t="s">
        <v>45</v>
      </c>
    </row>
    <row r="411" spans="6:13">
      <c r="F411" s="650">
        <v>19.04</v>
      </c>
      <c r="G411" s="653" t="s">
        <v>79</v>
      </c>
      <c r="L411" s="654">
        <v>107.02</v>
      </c>
      <c r="M411" s="654" t="s">
        <v>45</v>
      </c>
    </row>
    <row r="412" spans="6:13">
      <c r="F412" s="650">
        <v>20.010000000000002</v>
      </c>
      <c r="G412" s="653" t="s">
        <v>79</v>
      </c>
      <c r="L412" s="654">
        <v>108.01</v>
      </c>
      <c r="M412" s="654" t="s">
        <v>45</v>
      </c>
    </row>
    <row r="413" spans="6:13">
      <c r="F413" s="650">
        <v>20.03</v>
      </c>
      <c r="G413" s="653" t="s">
        <v>79</v>
      </c>
      <c r="L413" s="654">
        <v>109.02</v>
      </c>
      <c r="M413" s="654" t="s">
        <v>45</v>
      </c>
    </row>
    <row r="414" spans="6:13">
      <c r="F414" s="650">
        <v>20.04</v>
      </c>
      <c r="G414" s="653" t="s">
        <v>79</v>
      </c>
      <c r="L414" s="654">
        <v>109.03</v>
      </c>
      <c r="M414" s="654" t="s">
        <v>45</v>
      </c>
    </row>
    <row r="415" spans="6:13">
      <c r="F415" s="650">
        <v>22.02</v>
      </c>
      <c r="G415" s="653" t="s">
        <v>79</v>
      </c>
      <c r="L415" s="654">
        <v>109.04</v>
      </c>
      <c r="M415" s="654" t="s">
        <v>45</v>
      </c>
    </row>
    <row r="416" spans="6:13">
      <c r="F416" s="650">
        <v>23</v>
      </c>
      <c r="G416" s="653" t="s">
        <v>79</v>
      </c>
      <c r="L416" s="654">
        <v>109.05</v>
      </c>
      <c r="M416" s="654" t="s">
        <v>45</v>
      </c>
    </row>
    <row r="417" spans="6:13">
      <c r="F417" s="650">
        <v>24.02</v>
      </c>
      <c r="G417" s="653" t="s">
        <v>79</v>
      </c>
      <c r="L417" s="654">
        <v>110.01</v>
      </c>
      <c r="M417" s="654" t="s">
        <v>45</v>
      </c>
    </row>
    <row r="418" spans="6:13">
      <c r="F418" s="650">
        <v>24.03</v>
      </c>
      <c r="G418" s="653" t="s">
        <v>79</v>
      </c>
      <c r="L418" s="654">
        <v>110.02</v>
      </c>
      <c r="M418" s="654" t="s">
        <v>45</v>
      </c>
    </row>
    <row r="419" spans="6:13">
      <c r="F419" s="650">
        <v>24.04</v>
      </c>
      <c r="G419" s="653" t="s">
        <v>79</v>
      </c>
      <c r="L419" s="654">
        <v>111.02</v>
      </c>
      <c r="M419" s="654" t="s">
        <v>45</v>
      </c>
    </row>
    <row r="420" spans="6:13">
      <c r="F420" s="650">
        <v>25.01</v>
      </c>
      <c r="G420" s="653" t="s">
        <v>79</v>
      </c>
      <c r="L420" s="654">
        <v>111.06</v>
      </c>
      <c r="M420" s="654" t="s">
        <v>45</v>
      </c>
    </row>
    <row r="421" spans="6:13">
      <c r="F421" s="650">
        <v>25.02</v>
      </c>
      <c r="G421" s="653" t="s">
        <v>79</v>
      </c>
      <c r="L421" s="654">
        <v>112.01</v>
      </c>
      <c r="M421" s="654" t="s">
        <v>45</v>
      </c>
    </row>
    <row r="422" spans="6:13">
      <c r="F422" s="650">
        <v>26</v>
      </c>
      <c r="G422" s="653" t="s">
        <v>79</v>
      </c>
      <c r="L422" s="654">
        <v>112.02</v>
      </c>
      <c r="M422" s="654" t="s">
        <v>45</v>
      </c>
    </row>
    <row r="423" spans="6:13">
      <c r="F423" s="650">
        <v>28</v>
      </c>
      <c r="G423" s="653" t="s">
        <v>79</v>
      </c>
      <c r="L423" s="654">
        <v>1102.01</v>
      </c>
      <c r="M423" s="654" t="s">
        <v>46</v>
      </c>
    </row>
    <row r="424" spans="6:13">
      <c r="F424" s="650">
        <v>29</v>
      </c>
      <c r="G424" s="653" t="s">
        <v>79</v>
      </c>
      <c r="L424" s="654">
        <v>1105</v>
      </c>
      <c r="M424" s="654" t="s">
        <v>46</v>
      </c>
    </row>
    <row r="425" spans="6:13">
      <c r="F425" s="650">
        <v>30.01</v>
      </c>
      <c r="G425" s="653" t="s">
        <v>79</v>
      </c>
      <c r="L425" s="654">
        <v>1106.01</v>
      </c>
      <c r="M425" s="654" t="s">
        <v>46</v>
      </c>
    </row>
    <row r="426" spans="6:13">
      <c r="F426" s="650">
        <v>30.03</v>
      </c>
      <c r="G426" s="653" t="s">
        <v>79</v>
      </c>
      <c r="L426" s="654">
        <v>1107</v>
      </c>
      <c r="M426" s="654" t="s">
        <v>46</v>
      </c>
    </row>
    <row r="427" spans="6:13">
      <c r="F427" s="650">
        <v>30.04</v>
      </c>
      <c r="G427" s="653" t="s">
        <v>79</v>
      </c>
      <c r="L427" s="654">
        <v>1108</v>
      </c>
      <c r="M427" s="654" t="s">
        <v>46</v>
      </c>
    </row>
    <row r="428" spans="6:13">
      <c r="F428" s="650">
        <v>31</v>
      </c>
      <c r="G428" s="653" t="s">
        <v>79</v>
      </c>
      <c r="L428" s="654">
        <v>1109.04</v>
      </c>
      <c r="M428" s="654" t="s">
        <v>46</v>
      </c>
    </row>
    <row r="429" spans="6:13">
      <c r="F429" s="650">
        <v>34</v>
      </c>
      <c r="G429" s="653" t="s">
        <v>79</v>
      </c>
      <c r="L429" s="654">
        <v>101.01</v>
      </c>
      <c r="M429" s="654" t="s">
        <v>48</v>
      </c>
    </row>
    <row r="430" spans="6:13">
      <c r="F430" s="650">
        <v>36.01</v>
      </c>
      <c r="G430" s="653" t="s">
        <v>79</v>
      </c>
      <c r="L430" s="654">
        <v>101.02</v>
      </c>
      <c r="M430" s="654" t="s">
        <v>48</v>
      </c>
    </row>
    <row r="431" spans="6:13">
      <c r="F431" s="650">
        <v>36.020000000000003</v>
      </c>
      <c r="G431" s="653" t="s">
        <v>79</v>
      </c>
      <c r="L431" s="654">
        <v>102</v>
      </c>
      <c r="M431" s="654" t="s">
        <v>48</v>
      </c>
    </row>
    <row r="432" spans="6:13">
      <c r="F432" s="650">
        <v>39.11</v>
      </c>
      <c r="G432" s="653" t="s">
        <v>79</v>
      </c>
      <c r="L432" s="654">
        <v>104.03</v>
      </c>
      <c r="M432" s="654" t="s">
        <v>48</v>
      </c>
    </row>
    <row r="433" spans="6:13">
      <c r="F433" s="650">
        <v>41.03</v>
      </c>
      <c r="G433" s="653" t="s">
        <v>79</v>
      </c>
      <c r="L433" s="654">
        <v>104.04</v>
      </c>
      <c r="M433" s="654" t="s">
        <v>48</v>
      </c>
    </row>
    <row r="434" spans="6:13">
      <c r="F434" s="650">
        <v>44.04</v>
      </c>
      <c r="G434" s="653" t="s">
        <v>79</v>
      </c>
      <c r="L434" s="654">
        <v>104.05</v>
      </c>
      <c r="M434" s="654" t="s">
        <v>48</v>
      </c>
    </row>
    <row r="435" spans="6:13">
      <c r="F435" s="650">
        <v>49.01</v>
      </c>
      <c r="G435" s="653" t="s">
        <v>79</v>
      </c>
      <c r="L435" s="654">
        <v>104.06</v>
      </c>
      <c r="M435" s="654" t="s">
        <v>48</v>
      </c>
    </row>
    <row r="436" spans="6:13">
      <c r="F436" s="650">
        <v>49.02</v>
      </c>
      <c r="G436" s="653" t="s">
        <v>79</v>
      </c>
      <c r="L436" s="654">
        <v>9701.02</v>
      </c>
      <c r="M436" s="654" t="s">
        <v>49</v>
      </c>
    </row>
    <row r="437" spans="6:13">
      <c r="F437" s="650">
        <v>50.02</v>
      </c>
      <c r="G437" s="653" t="s">
        <v>79</v>
      </c>
      <c r="L437" s="654">
        <v>9702</v>
      </c>
      <c r="M437" s="654" t="s">
        <v>49</v>
      </c>
    </row>
    <row r="438" spans="6:13">
      <c r="F438" s="650">
        <v>51.02</v>
      </c>
      <c r="G438" s="653" t="s">
        <v>79</v>
      </c>
      <c r="L438" s="654">
        <v>7</v>
      </c>
      <c r="M438" s="654" t="s">
        <v>50</v>
      </c>
    </row>
    <row r="439" spans="6:13">
      <c r="F439" s="650">
        <v>51.03</v>
      </c>
      <c r="G439" s="653" t="s">
        <v>79</v>
      </c>
      <c r="L439" s="654">
        <v>8</v>
      </c>
      <c r="M439" s="654" t="s">
        <v>50</v>
      </c>
    </row>
    <row r="440" spans="6:13">
      <c r="F440" s="650">
        <v>51.04</v>
      </c>
      <c r="G440" s="653" t="s">
        <v>79</v>
      </c>
      <c r="L440" s="654">
        <v>21.01</v>
      </c>
      <c r="M440" s="654" t="s">
        <v>50</v>
      </c>
    </row>
    <row r="441" spans="6:13">
      <c r="F441" s="650">
        <v>52.01</v>
      </c>
      <c r="G441" s="653" t="s">
        <v>79</v>
      </c>
      <c r="L441" s="654">
        <v>21.02</v>
      </c>
      <c r="M441" s="654" t="s">
        <v>50</v>
      </c>
    </row>
    <row r="442" spans="6:13">
      <c r="F442" s="650">
        <v>52.02</v>
      </c>
      <c r="G442" s="653" t="s">
        <v>79</v>
      </c>
      <c r="L442" s="654">
        <v>22</v>
      </c>
      <c r="M442" s="654" t="s">
        <v>50</v>
      </c>
    </row>
    <row r="443" spans="6:13">
      <c r="F443" s="650">
        <v>53.02</v>
      </c>
      <c r="G443" s="653" t="s">
        <v>79</v>
      </c>
      <c r="L443" s="654">
        <v>23</v>
      </c>
      <c r="M443" s="654" t="s">
        <v>50</v>
      </c>
    </row>
    <row r="444" spans="6:13">
      <c r="F444" s="650">
        <v>53.03</v>
      </c>
      <c r="G444" s="653" t="s">
        <v>79</v>
      </c>
      <c r="L444" s="654">
        <v>24</v>
      </c>
      <c r="M444" s="654" t="s">
        <v>50</v>
      </c>
    </row>
    <row r="445" spans="6:13">
      <c r="F445" s="650">
        <v>53.04</v>
      </c>
      <c r="G445" s="653" t="s">
        <v>79</v>
      </c>
      <c r="L445" s="654">
        <v>25.02</v>
      </c>
      <c r="M445" s="654" t="s">
        <v>50</v>
      </c>
    </row>
    <row r="446" spans="6:13">
      <c r="F446" s="650">
        <v>54.03</v>
      </c>
      <c r="G446" s="653" t="s">
        <v>79</v>
      </c>
      <c r="L446" s="654">
        <v>101.02</v>
      </c>
      <c r="M446" s="654" t="s">
        <v>50</v>
      </c>
    </row>
    <row r="447" spans="6:13">
      <c r="F447" s="650">
        <v>54.05</v>
      </c>
      <c r="G447" s="653" t="s">
        <v>79</v>
      </c>
      <c r="L447" s="654">
        <v>101.03</v>
      </c>
      <c r="M447" s="654" t="s">
        <v>50</v>
      </c>
    </row>
    <row r="448" spans="6:13">
      <c r="F448" s="650">
        <v>54.06</v>
      </c>
      <c r="G448" s="653" t="s">
        <v>79</v>
      </c>
      <c r="L448" s="654">
        <v>102.02</v>
      </c>
      <c r="M448" s="654" t="s">
        <v>50</v>
      </c>
    </row>
    <row r="449" spans="6:13">
      <c r="F449" s="650">
        <v>54.09</v>
      </c>
      <c r="G449" s="653" t="s">
        <v>79</v>
      </c>
      <c r="L449" s="654">
        <v>103.04</v>
      </c>
      <c r="M449" s="654" t="s">
        <v>50</v>
      </c>
    </row>
    <row r="450" spans="6:13">
      <c r="F450" s="650">
        <v>54.1</v>
      </c>
      <c r="G450" s="653" t="s">
        <v>79</v>
      </c>
      <c r="L450" s="654">
        <v>106</v>
      </c>
      <c r="M450" s="654" t="s">
        <v>50</v>
      </c>
    </row>
    <row r="451" spans="6:13">
      <c r="F451" s="650">
        <v>55.02</v>
      </c>
      <c r="G451" s="653" t="s">
        <v>79</v>
      </c>
      <c r="L451" s="654">
        <v>119.03</v>
      </c>
      <c r="M451" s="654" t="s">
        <v>50</v>
      </c>
    </row>
    <row r="452" spans="6:13">
      <c r="F452" s="650">
        <v>57.01</v>
      </c>
      <c r="G452" s="653" t="s">
        <v>79</v>
      </c>
      <c r="L452" s="654">
        <v>125</v>
      </c>
      <c r="M452" s="654" t="s">
        <v>50</v>
      </c>
    </row>
    <row r="453" spans="6:13">
      <c r="F453" s="650">
        <v>57.03</v>
      </c>
      <c r="G453" s="653" t="s">
        <v>79</v>
      </c>
      <c r="L453" s="654">
        <v>130</v>
      </c>
      <c r="M453" s="654" t="s">
        <v>50</v>
      </c>
    </row>
    <row r="454" spans="6:13">
      <c r="F454" s="650">
        <v>57.04</v>
      </c>
      <c r="G454" s="653" t="s">
        <v>79</v>
      </c>
      <c r="L454" s="654">
        <v>131</v>
      </c>
      <c r="M454" s="654" t="s">
        <v>50</v>
      </c>
    </row>
    <row r="455" spans="6:13">
      <c r="F455" s="650">
        <v>63.01</v>
      </c>
      <c r="G455" s="653" t="s">
        <v>79</v>
      </c>
      <c r="L455" s="654">
        <v>132</v>
      </c>
      <c r="M455" s="654" t="s">
        <v>50</v>
      </c>
    </row>
    <row r="456" spans="6:13">
      <c r="F456" s="650">
        <v>64.03</v>
      </c>
      <c r="G456" s="653" t="s">
        <v>79</v>
      </c>
      <c r="L456" s="654">
        <v>133</v>
      </c>
      <c r="M456" s="654" t="s">
        <v>50</v>
      </c>
    </row>
    <row r="457" spans="6:13">
      <c r="F457" s="650">
        <v>70.02</v>
      </c>
      <c r="G457" s="653" t="s">
        <v>79</v>
      </c>
      <c r="L457" s="654">
        <v>135.22</v>
      </c>
      <c r="M457" s="654" t="s">
        <v>50</v>
      </c>
    </row>
    <row r="458" spans="6:13">
      <c r="F458" s="650">
        <v>72</v>
      </c>
      <c r="G458" s="653" t="s">
        <v>79</v>
      </c>
      <c r="L458" s="654">
        <v>137.21</v>
      </c>
      <c r="M458" s="654" t="s">
        <v>50</v>
      </c>
    </row>
    <row r="459" spans="6:13">
      <c r="F459" s="650">
        <v>76.03</v>
      </c>
      <c r="G459" s="653" t="s">
        <v>79</v>
      </c>
      <c r="L459" s="654">
        <v>137.22999999999999</v>
      </c>
      <c r="M459" s="654" t="s">
        <v>50</v>
      </c>
    </row>
    <row r="460" spans="6:13">
      <c r="F460" s="650">
        <v>83.09</v>
      </c>
      <c r="G460" s="653" t="s">
        <v>79</v>
      </c>
      <c r="L460" s="654">
        <v>137.26</v>
      </c>
      <c r="M460" s="654" t="s">
        <v>50</v>
      </c>
    </row>
    <row r="461" spans="6:13">
      <c r="F461" s="650">
        <v>88.05</v>
      </c>
      <c r="G461" s="653" t="s">
        <v>79</v>
      </c>
      <c r="L461" s="654">
        <v>137.27000000000001</v>
      </c>
      <c r="M461" s="654" t="s">
        <v>50</v>
      </c>
    </row>
    <row r="462" spans="6:13">
      <c r="F462" s="650">
        <v>88.06</v>
      </c>
      <c r="G462" s="653" t="s">
        <v>79</v>
      </c>
      <c r="L462" s="654">
        <v>138</v>
      </c>
      <c r="M462" s="654" t="s">
        <v>50</v>
      </c>
    </row>
    <row r="463" spans="6:13">
      <c r="F463" s="650">
        <v>90.2</v>
      </c>
      <c r="G463" s="653" t="s">
        <v>79</v>
      </c>
      <c r="L463" s="654">
        <v>139.01</v>
      </c>
      <c r="M463" s="654" t="s">
        <v>50</v>
      </c>
    </row>
    <row r="464" spans="6:13">
      <c r="F464" s="650">
        <v>90.21</v>
      </c>
      <c r="G464" s="653" t="s">
        <v>79</v>
      </c>
      <c r="L464" s="654">
        <v>139.02000000000001</v>
      </c>
      <c r="M464" s="654" t="s">
        <v>50</v>
      </c>
    </row>
    <row r="465" spans="6:13">
      <c r="F465" s="650">
        <v>90.26</v>
      </c>
      <c r="G465" s="653" t="s">
        <v>79</v>
      </c>
      <c r="L465" s="654">
        <v>139.05000000000001</v>
      </c>
      <c r="M465" s="654" t="s">
        <v>50</v>
      </c>
    </row>
    <row r="466" spans="6:13">
      <c r="F466" s="650">
        <v>93.06</v>
      </c>
      <c r="G466" s="653" t="s">
        <v>79</v>
      </c>
      <c r="L466" s="654">
        <v>139.06</v>
      </c>
      <c r="M466" s="654" t="s">
        <v>50</v>
      </c>
    </row>
    <row r="467" spans="6:13">
      <c r="F467" s="650">
        <v>93.07</v>
      </c>
      <c r="G467" s="653" t="s">
        <v>79</v>
      </c>
      <c r="L467" s="654">
        <v>140.01</v>
      </c>
      <c r="M467" s="654" t="s">
        <v>50</v>
      </c>
    </row>
    <row r="468" spans="6:13">
      <c r="F468" s="650">
        <v>93.08</v>
      </c>
      <c r="G468" s="653" t="s">
        <v>79</v>
      </c>
      <c r="L468" s="654">
        <v>140.02000000000001</v>
      </c>
      <c r="M468" s="654" t="s">
        <v>50</v>
      </c>
    </row>
    <row r="469" spans="6:13">
      <c r="F469" s="650">
        <v>93.09</v>
      </c>
      <c r="G469" s="653" t="s">
        <v>79</v>
      </c>
      <c r="L469" s="654">
        <v>141.01</v>
      </c>
      <c r="M469" s="654" t="s">
        <v>50</v>
      </c>
    </row>
    <row r="470" spans="6:13">
      <c r="F470" s="650">
        <v>93.11</v>
      </c>
      <c r="G470" s="653" t="s">
        <v>79</v>
      </c>
      <c r="L470" s="654">
        <v>141.02000000000001</v>
      </c>
      <c r="M470" s="654" t="s">
        <v>50</v>
      </c>
    </row>
    <row r="471" spans="6:13">
      <c r="F471" s="650">
        <v>93.14</v>
      </c>
      <c r="G471" s="653" t="s">
        <v>79</v>
      </c>
      <c r="L471" s="654">
        <v>142.02000000000001</v>
      </c>
      <c r="M471" s="654" t="s">
        <v>50</v>
      </c>
    </row>
    <row r="472" spans="6:13">
      <c r="F472" s="650">
        <v>93.15</v>
      </c>
      <c r="G472" s="653" t="s">
        <v>79</v>
      </c>
      <c r="L472" s="654">
        <v>142.03</v>
      </c>
      <c r="M472" s="654" t="s">
        <v>50</v>
      </c>
    </row>
    <row r="473" spans="6:13">
      <c r="F473" s="650">
        <v>95.01</v>
      </c>
      <c r="G473" s="653" t="s">
        <v>79</v>
      </c>
      <c r="L473" s="654">
        <v>142.04</v>
      </c>
      <c r="M473" s="654" t="s">
        <v>50</v>
      </c>
    </row>
    <row r="474" spans="6:13">
      <c r="F474" s="650">
        <v>96</v>
      </c>
      <c r="G474" s="653" t="s">
        <v>79</v>
      </c>
      <c r="L474" s="654">
        <v>143.12</v>
      </c>
      <c r="M474" s="654" t="s">
        <v>50</v>
      </c>
    </row>
    <row r="475" spans="6:13">
      <c r="F475" s="650">
        <v>97.05</v>
      </c>
      <c r="G475" s="653" t="s">
        <v>79</v>
      </c>
      <c r="L475" s="654">
        <v>143.26</v>
      </c>
      <c r="M475" s="654" t="s">
        <v>50</v>
      </c>
    </row>
    <row r="476" spans="6:13">
      <c r="F476" s="650">
        <v>100.01</v>
      </c>
      <c r="G476" s="653" t="s">
        <v>79</v>
      </c>
      <c r="L476" s="654">
        <v>143.28</v>
      </c>
      <c r="M476" s="654" t="s">
        <v>50</v>
      </c>
    </row>
    <row r="477" spans="6:13">
      <c r="F477" s="650">
        <v>100.1</v>
      </c>
      <c r="G477" s="653" t="s">
        <v>79</v>
      </c>
      <c r="L477" s="654">
        <v>143.29</v>
      </c>
      <c r="M477" s="654" t="s">
        <v>50</v>
      </c>
    </row>
    <row r="478" spans="6:13">
      <c r="F478" s="650">
        <v>100.11</v>
      </c>
      <c r="G478" s="653" t="s">
        <v>79</v>
      </c>
      <c r="L478" s="654">
        <v>143.30000000000001</v>
      </c>
      <c r="M478" s="654" t="s">
        <v>50</v>
      </c>
    </row>
    <row r="479" spans="6:13">
      <c r="F479" s="650">
        <v>100.15</v>
      </c>
      <c r="G479" s="653" t="s">
        <v>79</v>
      </c>
      <c r="L479" s="654">
        <v>143.31</v>
      </c>
      <c r="M479" s="654" t="s">
        <v>50</v>
      </c>
    </row>
    <row r="480" spans="6:13">
      <c r="F480" s="650">
        <v>102.07</v>
      </c>
      <c r="G480" s="653" t="s">
        <v>79</v>
      </c>
      <c r="L480" s="654">
        <v>143.32</v>
      </c>
      <c r="M480" s="654" t="s">
        <v>50</v>
      </c>
    </row>
    <row r="481" spans="6:13">
      <c r="F481" s="650">
        <v>102.08</v>
      </c>
      <c r="G481" s="653" t="s">
        <v>79</v>
      </c>
      <c r="L481" s="654">
        <v>143.33000000000001</v>
      </c>
      <c r="M481" s="654" t="s">
        <v>50</v>
      </c>
    </row>
    <row r="482" spans="6:13">
      <c r="F482" s="650">
        <v>106.09</v>
      </c>
      <c r="G482" s="653" t="s">
        <v>79</v>
      </c>
      <c r="L482" s="654">
        <v>143.34</v>
      </c>
      <c r="M482" s="654" t="s">
        <v>50</v>
      </c>
    </row>
    <row r="483" spans="6:13">
      <c r="F483" s="650">
        <v>108.01</v>
      </c>
      <c r="G483" s="653" t="s">
        <v>79</v>
      </c>
      <c r="L483" s="654">
        <v>143.35</v>
      </c>
      <c r="M483" s="654" t="s">
        <v>50</v>
      </c>
    </row>
    <row r="484" spans="6:13">
      <c r="F484" s="650">
        <v>108.02</v>
      </c>
      <c r="G484" s="653" t="s">
        <v>79</v>
      </c>
      <c r="L484" s="654">
        <v>143.36000000000001</v>
      </c>
      <c r="M484" s="654" t="s">
        <v>50</v>
      </c>
    </row>
    <row r="485" spans="6:13">
      <c r="F485" s="650">
        <v>109</v>
      </c>
      <c r="G485" s="653" t="s">
        <v>79</v>
      </c>
      <c r="L485" s="654">
        <v>143.37</v>
      </c>
      <c r="M485" s="654" t="s">
        <v>50</v>
      </c>
    </row>
    <row r="486" spans="6:13">
      <c r="F486" s="650">
        <v>110.01</v>
      </c>
      <c r="G486" s="653" t="s">
        <v>79</v>
      </c>
      <c r="L486" s="654">
        <v>143.38</v>
      </c>
      <c r="M486" s="654" t="s">
        <v>50</v>
      </c>
    </row>
    <row r="487" spans="6:13">
      <c r="F487" s="650">
        <v>110.03</v>
      </c>
      <c r="G487" s="653" t="s">
        <v>79</v>
      </c>
      <c r="L487" s="654">
        <v>144.01</v>
      </c>
      <c r="M487" s="654" t="s">
        <v>50</v>
      </c>
    </row>
    <row r="488" spans="6:13">
      <c r="F488" s="650">
        <v>111.01</v>
      </c>
      <c r="G488" s="653" t="s">
        <v>79</v>
      </c>
      <c r="L488" s="654">
        <v>144.04</v>
      </c>
      <c r="M488" s="654" t="s">
        <v>50</v>
      </c>
    </row>
    <row r="489" spans="6:13">
      <c r="F489" s="650">
        <v>112.01</v>
      </c>
      <c r="G489" s="653" t="s">
        <v>79</v>
      </c>
      <c r="L489" s="654">
        <v>144.06</v>
      </c>
      <c r="M489" s="654" t="s">
        <v>50</v>
      </c>
    </row>
    <row r="490" spans="6:13">
      <c r="F490" s="650">
        <v>112.02</v>
      </c>
      <c r="G490" s="653" t="s">
        <v>79</v>
      </c>
      <c r="L490" s="654">
        <v>144.08000000000001</v>
      </c>
      <c r="M490" s="654" t="s">
        <v>50</v>
      </c>
    </row>
    <row r="491" spans="6:13">
      <c r="F491" s="650">
        <v>113</v>
      </c>
      <c r="G491" s="653" t="s">
        <v>79</v>
      </c>
      <c r="L491" s="654">
        <v>144.09</v>
      </c>
      <c r="M491" s="654" t="s">
        <v>50</v>
      </c>
    </row>
    <row r="492" spans="6:13">
      <c r="F492" s="650">
        <v>114.03</v>
      </c>
      <c r="G492" s="653" t="s">
        <v>79</v>
      </c>
      <c r="L492" s="654">
        <v>144.1</v>
      </c>
      <c r="M492" s="654" t="s">
        <v>50</v>
      </c>
    </row>
    <row r="493" spans="6:13">
      <c r="F493" s="650">
        <v>114.04</v>
      </c>
      <c r="G493" s="653" t="s">
        <v>79</v>
      </c>
      <c r="L493" s="654">
        <v>144.11000000000001</v>
      </c>
      <c r="M493" s="654" t="s">
        <v>50</v>
      </c>
    </row>
    <row r="494" spans="6:13">
      <c r="F494" s="650">
        <v>117</v>
      </c>
      <c r="G494" s="653" t="s">
        <v>79</v>
      </c>
      <c r="L494" s="654">
        <v>144.12</v>
      </c>
      <c r="M494" s="654" t="s">
        <v>50</v>
      </c>
    </row>
    <row r="495" spans="6:13">
      <c r="F495" s="650">
        <v>120</v>
      </c>
      <c r="G495" s="653" t="s">
        <v>79</v>
      </c>
      <c r="L495" s="654">
        <v>144.13</v>
      </c>
      <c r="M495" s="654" t="s">
        <v>50</v>
      </c>
    </row>
    <row r="496" spans="6:13">
      <c r="F496" s="650">
        <v>135</v>
      </c>
      <c r="G496" s="653" t="s">
        <v>79</v>
      </c>
      <c r="L496" s="654">
        <v>146.01</v>
      </c>
      <c r="M496" s="654" t="s">
        <v>50</v>
      </c>
    </row>
    <row r="497" spans="6:13">
      <c r="F497" s="650">
        <v>136</v>
      </c>
      <c r="G497" s="653" t="s">
        <v>79</v>
      </c>
      <c r="L497" s="654">
        <v>146.03</v>
      </c>
      <c r="M497" s="654" t="s">
        <v>50</v>
      </c>
    </row>
    <row r="498" spans="6:13">
      <c r="F498" s="650">
        <v>137</v>
      </c>
      <c r="G498" s="653" t="s">
        <v>79</v>
      </c>
      <c r="L498" s="654">
        <v>147.01</v>
      </c>
      <c r="M498" s="654" t="s">
        <v>50</v>
      </c>
    </row>
    <row r="499" spans="6:13">
      <c r="F499" s="650">
        <v>9807</v>
      </c>
      <c r="G499" s="653" t="s">
        <v>79</v>
      </c>
      <c r="L499" s="654">
        <v>147.02000000000001</v>
      </c>
      <c r="M499" s="654" t="s">
        <v>50</v>
      </c>
    </row>
    <row r="500" spans="6:13">
      <c r="F500" s="650">
        <v>226</v>
      </c>
      <c r="G500" s="650" t="s">
        <v>84</v>
      </c>
      <c r="L500" s="654">
        <v>150.02000000000001</v>
      </c>
      <c r="M500" s="654" t="s">
        <v>50</v>
      </c>
    </row>
    <row r="501" spans="6:13">
      <c r="F501" s="650">
        <v>228</v>
      </c>
      <c r="G501" s="650" t="s">
        <v>84</v>
      </c>
      <c r="L501" s="654">
        <v>156</v>
      </c>
      <c r="M501" s="654" t="s">
        <v>50</v>
      </c>
    </row>
    <row r="502" spans="6:13">
      <c r="F502" s="650">
        <v>104</v>
      </c>
      <c r="G502" s="653" t="s">
        <v>86</v>
      </c>
      <c r="L502" s="654">
        <v>159.22</v>
      </c>
      <c r="M502" s="654" t="s">
        <v>50</v>
      </c>
    </row>
    <row r="503" spans="6:13">
      <c r="F503" s="650">
        <v>105</v>
      </c>
      <c r="G503" s="653" t="s">
        <v>86</v>
      </c>
      <c r="L503" s="654">
        <v>159.22999999999999</v>
      </c>
      <c r="M503" s="654" t="s">
        <v>50</v>
      </c>
    </row>
    <row r="504" spans="6:13">
      <c r="F504" s="650">
        <v>110</v>
      </c>
      <c r="G504" s="653" t="s">
        <v>86</v>
      </c>
      <c r="L504" s="654">
        <v>159.24</v>
      </c>
      <c r="M504" s="654" t="s">
        <v>50</v>
      </c>
    </row>
    <row r="505" spans="6:13">
      <c r="F505" s="650">
        <v>116</v>
      </c>
      <c r="G505" s="653" t="s">
        <v>86</v>
      </c>
      <c r="L505" s="654">
        <v>159.25</v>
      </c>
      <c r="M505" s="654" t="s">
        <v>50</v>
      </c>
    </row>
    <row r="506" spans="6:13">
      <c r="F506" s="650">
        <v>117.01</v>
      </c>
      <c r="G506" s="653" t="s">
        <v>86</v>
      </c>
      <c r="L506" s="654">
        <v>159.26</v>
      </c>
      <c r="M506" s="654" t="s">
        <v>50</v>
      </c>
    </row>
    <row r="507" spans="6:13">
      <c r="F507" s="650">
        <v>117.02</v>
      </c>
      <c r="G507" s="653" t="s">
        <v>86</v>
      </c>
      <c r="L507" s="654">
        <v>164</v>
      </c>
      <c r="M507" s="654" t="s">
        <v>50</v>
      </c>
    </row>
    <row r="508" spans="6:13">
      <c r="F508" s="650">
        <v>120</v>
      </c>
      <c r="G508" s="653" t="s">
        <v>86</v>
      </c>
      <c r="L508" s="654">
        <v>165</v>
      </c>
      <c r="M508" s="654" t="s">
        <v>50</v>
      </c>
    </row>
    <row r="509" spans="6:13">
      <c r="F509" s="650">
        <v>121</v>
      </c>
      <c r="G509" s="653" t="s">
        <v>86</v>
      </c>
      <c r="L509" s="654">
        <v>166.03</v>
      </c>
      <c r="M509" s="654" t="s">
        <v>50</v>
      </c>
    </row>
    <row r="510" spans="6:13">
      <c r="F510" s="650">
        <v>122.01</v>
      </c>
      <c r="G510" s="653" t="s">
        <v>86</v>
      </c>
      <c r="L510" s="654">
        <v>166.04</v>
      </c>
      <c r="M510" s="654" t="s">
        <v>50</v>
      </c>
    </row>
    <row r="511" spans="6:13">
      <c r="F511" s="650">
        <v>122.02</v>
      </c>
      <c r="G511" s="653" t="s">
        <v>86</v>
      </c>
      <c r="L511" s="654">
        <v>167.11</v>
      </c>
      <c r="M511" s="654" t="s">
        <v>50</v>
      </c>
    </row>
    <row r="512" spans="6:13">
      <c r="F512" s="650">
        <v>123.05</v>
      </c>
      <c r="G512" s="653" t="s">
        <v>86</v>
      </c>
      <c r="L512" s="654">
        <v>167.22</v>
      </c>
      <c r="M512" s="654" t="s">
        <v>50</v>
      </c>
    </row>
    <row r="513" spans="6:13">
      <c r="F513" s="650">
        <v>123.07</v>
      </c>
      <c r="G513" s="653" t="s">
        <v>86</v>
      </c>
      <c r="L513" s="654">
        <v>167.25</v>
      </c>
      <c r="M513" s="654" t="s">
        <v>50</v>
      </c>
    </row>
    <row r="514" spans="6:13">
      <c r="F514" s="650">
        <v>124.02</v>
      </c>
      <c r="G514" s="653" t="s">
        <v>86</v>
      </c>
      <c r="L514" s="654">
        <v>167.26</v>
      </c>
      <c r="M514" s="654" t="s">
        <v>50</v>
      </c>
    </row>
    <row r="515" spans="6:13">
      <c r="F515" s="650">
        <v>124.03</v>
      </c>
      <c r="G515" s="653" t="s">
        <v>86</v>
      </c>
      <c r="L515" s="654">
        <v>167.28</v>
      </c>
      <c r="M515" s="654" t="s">
        <v>50</v>
      </c>
    </row>
    <row r="516" spans="6:13">
      <c r="F516" s="650">
        <v>134.03</v>
      </c>
      <c r="G516" s="653" t="s">
        <v>86</v>
      </c>
      <c r="L516" s="654">
        <v>167.29</v>
      </c>
      <c r="M516" s="654" t="s">
        <v>50</v>
      </c>
    </row>
    <row r="517" spans="6:13">
      <c r="F517" s="650">
        <v>134.05000000000001</v>
      </c>
      <c r="G517" s="653" t="s">
        <v>86</v>
      </c>
      <c r="L517" s="654">
        <v>168.01</v>
      </c>
      <c r="M517" s="654" t="s">
        <v>50</v>
      </c>
    </row>
    <row r="518" spans="6:13">
      <c r="F518" s="650">
        <v>135.03</v>
      </c>
      <c r="G518" s="653" t="s">
        <v>86</v>
      </c>
      <c r="L518" s="654">
        <v>168.03</v>
      </c>
      <c r="M518" s="654" t="s">
        <v>50</v>
      </c>
    </row>
    <row r="519" spans="6:13">
      <c r="F519" s="650">
        <v>135.05000000000001</v>
      </c>
      <c r="G519" s="653" t="s">
        <v>86</v>
      </c>
      <c r="L519" s="654">
        <v>168.04</v>
      </c>
      <c r="M519" s="654" t="s">
        <v>50</v>
      </c>
    </row>
    <row r="520" spans="6:13">
      <c r="F520" s="650">
        <v>135.08000000000001</v>
      </c>
      <c r="G520" s="653" t="s">
        <v>86</v>
      </c>
      <c r="L520" s="654">
        <v>168.05</v>
      </c>
      <c r="M520" s="654" t="s">
        <v>50</v>
      </c>
    </row>
    <row r="521" spans="6:13">
      <c r="F521" s="650">
        <v>135.1</v>
      </c>
      <c r="G521" s="653" t="s">
        <v>86</v>
      </c>
      <c r="L521" s="654">
        <v>168.06</v>
      </c>
      <c r="M521" s="654" t="s">
        <v>50</v>
      </c>
    </row>
    <row r="522" spans="6:13">
      <c r="F522" s="650">
        <v>135.11000000000001</v>
      </c>
      <c r="G522" s="653" t="s">
        <v>86</v>
      </c>
      <c r="L522" s="654">
        <v>168.07</v>
      </c>
      <c r="M522" s="654" t="s">
        <v>50</v>
      </c>
    </row>
    <row r="523" spans="6:13">
      <c r="F523" s="650">
        <v>135.12</v>
      </c>
      <c r="G523" s="653" t="s">
        <v>86</v>
      </c>
      <c r="L523" s="654">
        <v>171</v>
      </c>
      <c r="M523" s="654" t="s">
        <v>50</v>
      </c>
    </row>
    <row r="524" spans="6:13">
      <c r="F524" s="650">
        <v>136.05000000000001</v>
      </c>
      <c r="G524" s="653" t="s">
        <v>86</v>
      </c>
      <c r="L524" s="654">
        <v>173</v>
      </c>
      <c r="M524" s="654" t="s">
        <v>50</v>
      </c>
    </row>
    <row r="525" spans="6:13">
      <c r="F525" s="650">
        <v>136.06</v>
      </c>
      <c r="G525" s="653" t="s">
        <v>86</v>
      </c>
      <c r="L525" s="654">
        <v>1</v>
      </c>
      <c r="M525" s="654" t="s">
        <v>52</v>
      </c>
    </row>
    <row r="526" spans="6:13">
      <c r="F526" s="650">
        <v>143.02000000000001</v>
      </c>
      <c r="G526" s="653" t="s">
        <v>86</v>
      </c>
      <c r="L526" s="654">
        <v>5</v>
      </c>
      <c r="M526" s="654" t="s">
        <v>52</v>
      </c>
    </row>
    <row r="527" spans="6:13">
      <c r="F527" s="650">
        <v>145.02000000000001</v>
      </c>
      <c r="G527" s="653" t="s">
        <v>86</v>
      </c>
      <c r="L527" s="654">
        <v>8</v>
      </c>
      <c r="M527" s="654" t="s">
        <v>52</v>
      </c>
    </row>
    <row r="528" spans="6:13">
      <c r="F528" s="650">
        <v>145.03</v>
      </c>
      <c r="G528" s="653" t="s">
        <v>86</v>
      </c>
      <c r="L528" s="654">
        <v>9</v>
      </c>
      <c r="M528" s="654" t="s">
        <v>52</v>
      </c>
    </row>
    <row r="529" spans="6:13">
      <c r="F529" s="650">
        <v>146.01</v>
      </c>
      <c r="G529" s="653" t="s">
        <v>86</v>
      </c>
      <c r="L529" s="654">
        <v>10.01</v>
      </c>
      <c r="M529" s="654" t="s">
        <v>52</v>
      </c>
    </row>
    <row r="530" spans="6:13">
      <c r="F530" s="650">
        <v>146.05000000000001</v>
      </c>
      <c r="G530" s="653" t="s">
        <v>86</v>
      </c>
      <c r="L530" s="654">
        <v>10.02</v>
      </c>
      <c r="M530" s="654" t="s">
        <v>52</v>
      </c>
    </row>
    <row r="531" spans="6:13">
      <c r="F531" s="650">
        <v>146.06</v>
      </c>
      <c r="G531" s="653" t="s">
        <v>86</v>
      </c>
      <c r="L531" s="654">
        <v>11.01</v>
      </c>
      <c r="M531" s="654" t="s">
        <v>52</v>
      </c>
    </row>
    <row r="532" spans="6:13">
      <c r="F532" s="650">
        <v>146.08000000000001</v>
      </c>
      <c r="G532" s="653" t="s">
        <v>86</v>
      </c>
      <c r="L532" s="654">
        <v>11.03</v>
      </c>
      <c r="M532" s="654" t="s">
        <v>52</v>
      </c>
    </row>
    <row r="533" spans="6:13">
      <c r="F533" s="650">
        <v>147.01</v>
      </c>
      <c r="G533" s="653" t="s">
        <v>86</v>
      </c>
      <c r="L533" s="654">
        <v>11.04</v>
      </c>
      <c r="M533" s="654" t="s">
        <v>52</v>
      </c>
    </row>
    <row r="534" spans="6:13">
      <c r="F534" s="650">
        <v>148.04</v>
      </c>
      <c r="G534" s="653" t="s">
        <v>86</v>
      </c>
      <c r="L534" s="654">
        <v>14.01</v>
      </c>
      <c r="M534" s="654" t="s">
        <v>52</v>
      </c>
    </row>
    <row r="535" spans="6:13">
      <c r="F535" s="650">
        <v>148.12</v>
      </c>
      <c r="G535" s="653" t="s">
        <v>86</v>
      </c>
      <c r="L535" s="654">
        <v>25</v>
      </c>
      <c r="M535" s="654" t="s">
        <v>52</v>
      </c>
    </row>
    <row r="536" spans="6:13">
      <c r="F536" s="650">
        <v>149.04</v>
      </c>
      <c r="G536" s="653" t="s">
        <v>86</v>
      </c>
      <c r="L536" s="654">
        <v>26.01</v>
      </c>
      <c r="M536" s="654" t="s">
        <v>52</v>
      </c>
    </row>
    <row r="537" spans="6:13">
      <c r="F537" s="650">
        <v>150.01</v>
      </c>
      <c r="G537" s="653" t="s">
        <v>86</v>
      </c>
      <c r="L537" s="654">
        <v>26.02</v>
      </c>
      <c r="M537" s="654" t="s">
        <v>52</v>
      </c>
    </row>
    <row r="538" spans="6:13">
      <c r="F538" s="650">
        <v>152.02000000000001</v>
      </c>
      <c r="G538" s="653" t="s">
        <v>86</v>
      </c>
      <c r="L538" s="654">
        <v>26.03</v>
      </c>
      <c r="M538" s="654" t="s">
        <v>52</v>
      </c>
    </row>
    <row r="539" spans="6:13">
      <c r="F539" s="650">
        <v>163.02000000000001</v>
      </c>
      <c r="G539" s="653" t="s">
        <v>86</v>
      </c>
      <c r="L539" s="654">
        <v>26.04</v>
      </c>
      <c r="M539" s="654" t="s">
        <v>52</v>
      </c>
    </row>
    <row r="540" spans="6:13">
      <c r="F540" s="650">
        <v>164.07</v>
      </c>
      <c r="G540" s="653" t="s">
        <v>86</v>
      </c>
      <c r="L540" s="654">
        <v>26.05</v>
      </c>
      <c r="M540" s="654" t="s">
        <v>52</v>
      </c>
    </row>
    <row r="541" spans="6:13">
      <c r="F541" s="650">
        <v>165.03</v>
      </c>
      <c r="G541" s="653" t="s">
        <v>86</v>
      </c>
      <c r="L541" s="654">
        <v>27.01</v>
      </c>
      <c r="M541" s="654" t="s">
        <v>52</v>
      </c>
    </row>
    <row r="542" spans="6:13">
      <c r="F542" s="650">
        <v>165.05</v>
      </c>
      <c r="G542" s="653" t="s">
        <v>86</v>
      </c>
      <c r="L542" s="654">
        <v>28.02</v>
      </c>
      <c r="M542" s="654" t="s">
        <v>52</v>
      </c>
    </row>
    <row r="543" spans="6:13">
      <c r="F543" s="650">
        <v>165.08</v>
      </c>
      <c r="G543" s="653" t="s">
        <v>86</v>
      </c>
      <c r="L543" s="654">
        <v>28.04</v>
      </c>
      <c r="M543" s="654" t="s">
        <v>52</v>
      </c>
    </row>
    <row r="544" spans="6:13">
      <c r="F544" s="650">
        <v>165.1</v>
      </c>
      <c r="G544" s="653" t="s">
        <v>86</v>
      </c>
      <c r="L544" s="654">
        <v>32.04</v>
      </c>
      <c r="M544" s="654" t="s">
        <v>52</v>
      </c>
    </row>
    <row r="545" spans="6:13">
      <c r="F545" s="650">
        <v>165.11</v>
      </c>
      <c r="G545" s="653" t="s">
        <v>86</v>
      </c>
      <c r="L545" s="654">
        <v>33.01</v>
      </c>
      <c r="M545" s="654" t="s">
        <v>52</v>
      </c>
    </row>
    <row r="546" spans="6:13">
      <c r="F546" s="650">
        <v>167.09</v>
      </c>
      <c r="G546" s="653" t="s">
        <v>86</v>
      </c>
      <c r="L546" s="654">
        <v>33.049999999999997</v>
      </c>
      <c r="M546" s="654" t="s">
        <v>52</v>
      </c>
    </row>
    <row r="547" spans="6:13">
      <c r="F547" s="650">
        <v>167.12</v>
      </c>
      <c r="G547" s="653" t="s">
        <v>86</v>
      </c>
      <c r="L547" s="654">
        <v>33.08</v>
      </c>
      <c r="M547" s="654" t="s">
        <v>52</v>
      </c>
    </row>
    <row r="548" spans="6:13">
      <c r="F548" s="650">
        <v>167.24</v>
      </c>
      <c r="G548" s="653" t="s">
        <v>86</v>
      </c>
      <c r="L548" s="654">
        <v>33.090000000000003</v>
      </c>
      <c r="M548" s="654" t="s">
        <v>52</v>
      </c>
    </row>
    <row r="549" spans="6:13">
      <c r="F549" s="650">
        <v>167.27</v>
      </c>
      <c r="G549" s="653" t="s">
        <v>86</v>
      </c>
      <c r="L549" s="654">
        <v>35.03</v>
      </c>
      <c r="M549" s="654" t="s">
        <v>52</v>
      </c>
    </row>
    <row r="550" spans="6:13">
      <c r="F550" s="650">
        <v>169.02</v>
      </c>
      <c r="G550" s="653" t="s">
        <v>86</v>
      </c>
      <c r="L550" s="654">
        <v>35.06</v>
      </c>
      <c r="M550" s="654" t="s">
        <v>52</v>
      </c>
    </row>
    <row r="551" spans="6:13">
      <c r="F551" s="650">
        <v>169.03</v>
      </c>
      <c r="G551" s="653" t="s">
        <v>86</v>
      </c>
      <c r="L551" s="654">
        <v>36.03</v>
      </c>
      <c r="M551" s="654" t="s">
        <v>52</v>
      </c>
    </row>
    <row r="552" spans="6:13">
      <c r="F552" s="650">
        <v>169.04</v>
      </c>
      <c r="G552" s="653" t="s">
        <v>86</v>
      </c>
      <c r="L552" s="654">
        <v>36.08</v>
      </c>
      <c r="M552" s="654" t="s">
        <v>52</v>
      </c>
    </row>
    <row r="553" spans="6:13">
      <c r="F553" s="650">
        <v>169.06</v>
      </c>
      <c r="G553" s="653" t="s">
        <v>86</v>
      </c>
      <c r="L553" s="654">
        <v>36.090000000000003</v>
      </c>
      <c r="M553" s="654" t="s">
        <v>52</v>
      </c>
    </row>
    <row r="554" spans="6:13">
      <c r="F554" s="650">
        <v>169.07</v>
      </c>
      <c r="G554" s="653" t="s">
        <v>86</v>
      </c>
      <c r="L554" s="654">
        <v>36.1</v>
      </c>
      <c r="M554" s="654" t="s">
        <v>52</v>
      </c>
    </row>
    <row r="555" spans="6:13">
      <c r="F555" s="650">
        <v>173</v>
      </c>
      <c r="G555" s="653" t="s">
        <v>86</v>
      </c>
      <c r="L555" s="654">
        <v>36.11</v>
      </c>
      <c r="M555" s="654" t="s">
        <v>52</v>
      </c>
    </row>
    <row r="556" spans="6:13">
      <c r="F556" s="650">
        <v>176</v>
      </c>
      <c r="G556" s="653" t="s">
        <v>86</v>
      </c>
      <c r="L556" s="654">
        <v>36.119999999999997</v>
      </c>
      <c r="M556" s="654" t="s">
        <v>52</v>
      </c>
    </row>
    <row r="557" spans="6:13">
      <c r="F557" s="650">
        <v>180</v>
      </c>
      <c r="G557" s="653" t="s">
        <v>86</v>
      </c>
      <c r="L557" s="654">
        <v>36.130000000000003</v>
      </c>
      <c r="M557" s="654" t="s">
        <v>52</v>
      </c>
    </row>
    <row r="558" spans="6:13">
      <c r="F558" s="650">
        <v>185</v>
      </c>
      <c r="G558" s="653" t="s">
        <v>86</v>
      </c>
      <c r="L558" s="654">
        <v>36.14</v>
      </c>
      <c r="M558" s="654" t="s">
        <v>52</v>
      </c>
    </row>
    <row r="559" spans="6:13">
      <c r="F559" s="650">
        <v>187</v>
      </c>
      <c r="G559" s="653" t="s">
        <v>86</v>
      </c>
      <c r="L559" s="654">
        <v>37</v>
      </c>
      <c r="M559" s="654" t="s">
        <v>52</v>
      </c>
    </row>
    <row r="560" spans="6:13">
      <c r="F560" s="650">
        <v>189</v>
      </c>
      <c r="G560" s="653" t="s">
        <v>86</v>
      </c>
      <c r="L560" s="654">
        <v>39</v>
      </c>
      <c r="M560" s="654" t="s">
        <v>52</v>
      </c>
    </row>
    <row r="561" spans="6:13">
      <c r="F561" s="650">
        <v>409.02</v>
      </c>
      <c r="G561" s="653" t="s">
        <v>87</v>
      </c>
      <c r="L561" s="654">
        <v>601.03</v>
      </c>
      <c r="M561" s="654" t="s">
        <v>53</v>
      </c>
    </row>
    <row r="562" spans="6:13">
      <c r="F562" s="650">
        <v>416</v>
      </c>
      <c r="G562" s="653" t="s">
        <v>87</v>
      </c>
      <c r="L562" s="654">
        <v>601.04999999999995</v>
      </c>
      <c r="M562" s="654" t="s">
        <v>53</v>
      </c>
    </row>
    <row r="563" spans="6:13">
      <c r="F563" s="650">
        <v>417</v>
      </c>
      <c r="G563" s="653" t="s">
        <v>87</v>
      </c>
      <c r="L563" s="654">
        <v>601.05999999999995</v>
      </c>
      <c r="M563" s="654" t="s">
        <v>53</v>
      </c>
    </row>
    <row r="564" spans="6:13">
      <c r="F564" s="650">
        <v>418</v>
      </c>
      <c r="G564" s="653" t="s">
        <v>87</v>
      </c>
      <c r="L564" s="654">
        <v>602.04</v>
      </c>
      <c r="M564" s="654" t="s">
        <v>53</v>
      </c>
    </row>
    <row r="565" spans="6:13">
      <c r="F565" s="650">
        <v>419</v>
      </c>
      <c r="G565" s="653" t="s">
        <v>87</v>
      </c>
      <c r="L565" s="654">
        <v>602.04999999999995</v>
      </c>
      <c r="M565" s="654" t="s">
        <v>53</v>
      </c>
    </row>
    <row r="566" spans="6:13">
      <c r="F566" s="650">
        <v>420</v>
      </c>
      <c r="G566" s="653" t="s">
        <v>87</v>
      </c>
      <c r="L566" s="654">
        <v>602.07000000000005</v>
      </c>
      <c r="M566" s="654" t="s">
        <v>53</v>
      </c>
    </row>
    <row r="567" spans="6:13">
      <c r="F567" s="650">
        <v>421</v>
      </c>
      <c r="G567" s="653" t="s">
        <v>87</v>
      </c>
      <c r="L567" s="654">
        <v>602.08000000000004</v>
      </c>
      <c r="M567" s="654" t="s">
        <v>53</v>
      </c>
    </row>
    <row r="568" spans="6:13">
      <c r="F568" s="650">
        <v>422</v>
      </c>
      <c r="G568" s="653" t="s">
        <v>87</v>
      </c>
      <c r="L568" s="654">
        <v>602.1</v>
      </c>
      <c r="M568" s="654" t="s">
        <v>53</v>
      </c>
    </row>
    <row r="569" spans="6:13">
      <c r="F569" s="650">
        <v>423</v>
      </c>
      <c r="G569" s="653" t="s">
        <v>87</v>
      </c>
      <c r="L569" s="654">
        <v>602.14</v>
      </c>
      <c r="M569" s="654" t="s">
        <v>53</v>
      </c>
    </row>
    <row r="570" spans="6:13">
      <c r="F570" s="650">
        <v>427.01</v>
      </c>
      <c r="G570" s="653" t="s">
        <v>87</v>
      </c>
      <c r="L570" s="654">
        <v>603.01</v>
      </c>
      <c r="M570" s="654" t="s">
        <v>53</v>
      </c>
    </row>
    <row r="571" spans="6:13">
      <c r="F571" s="650">
        <v>427.02</v>
      </c>
      <c r="G571" s="653" t="s">
        <v>87</v>
      </c>
      <c r="L571" s="654">
        <v>603.02</v>
      </c>
      <c r="M571" s="654" t="s">
        <v>53</v>
      </c>
    </row>
    <row r="572" spans="6:13">
      <c r="F572" s="650">
        <v>434</v>
      </c>
      <c r="G572" s="653" t="s">
        <v>87</v>
      </c>
      <c r="L572" s="654">
        <v>603.03</v>
      </c>
      <c r="M572" s="654" t="s">
        <v>53</v>
      </c>
    </row>
    <row r="573" spans="6:13">
      <c r="F573" s="650">
        <v>13.01</v>
      </c>
      <c r="G573" s="653" t="s">
        <v>88</v>
      </c>
      <c r="L573" s="654">
        <v>603.04</v>
      </c>
      <c r="M573" s="654" t="s">
        <v>53</v>
      </c>
    </row>
    <row r="574" spans="6:13">
      <c r="F574" s="650">
        <v>13.02</v>
      </c>
      <c r="G574" s="653" t="s">
        <v>88</v>
      </c>
      <c r="L574" s="654">
        <v>9702</v>
      </c>
      <c r="M574" s="654" t="s">
        <v>54</v>
      </c>
    </row>
    <row r="575" spans="6:13">
      <c r="F575" s="650">
        <v>14.02</v>
      </c>
      <c r="G575" s="653" t="s">
        <v>88</v>
      </c>
      <c r="L575" s="654">
        <v>9703.0400000000009</v>
      </c>
      <c r="M575" s="654" t="s">
        <v>54</v>
      </c>
    </row>
    <row r="576" spans="6:13">
      <c r="F576" s="650">
        <v>14.03</v>
      </c>
      <c r="G576" s="653" t="s">
        <v>88</v>
      </c>
      <c r="L576" s="654">
        <v>201.01</v>
      </c>
      <c r="M576" s="654" t="s">
        <v>55</v>
      </c>
    </row>
    <row r="577" spans="6:13">
      <c r="F577" s="650">
        <v>14.04</v>
      </c>
      <c r="G577" s="653" t="s">
        <v>88</v>
      </c>
      <c r="L577" s="654">
        <v>201.02</v>
      </c>
      <c r="M577" s="654" t="s">
        <v>55</v>
      </c>
    </row>
    <row r="578" spans="6:13">
      <c r="F578" s="650">
        <v>16</v>
      </c>
      <c r="G578" s="653" t="s">
        <v>88</v>
      </c>
      <c r="L578" s="654">
        <v>203</v>
      </c>
      <c r="M578" s="654" t="s">
        <v>55</v>
      </c>
    </row>
    <row r="579" spans="6:13">
      <c r="F579" s="650">
        <v>19.09</v>
      </c>
      <c r="G579" s="653" t="s">
        <v>88</v>
      </c>
      <c r="L579" s="654">
        <v>205</v>
      </c>
      <c r="M579" s="654" t="s">
        <v>55</v>
      </c>
    </row>
    <row r="580" spans="6:13">
      <c r="F580" s="650">
        <v>19.100000000000001</v>
      </c>
      <c r="G580" s="653" t="s">
        <v>88</v>
      </c>
      <c r="L580" s="654">
        <v>206</v>
      </c>
      <c r="M580" s="654" t="s">
        <v>55</v>
      </c>
    </row>
    <row r="581" spans="6:13">
      <c r="F581" s="650">
        <v>19.11</v>
      </c>
      <c r="G581" s="653" t="s">
        <v>88</v>
      </c>
      <c r="L581" s="654">
        <v>9502.01</v>
      </c>
      <c r="M581" s="654" t="s">
        <v>56</v>
      </c>
    </row>
    <row r="582" spans="6:13">
      <c r="F582" s="650">
        <v>21</v>
      </c>
      <c r="G582" s="653" t="s">
        <v>88</v>
      </c>
      <c r="L582" s="654">
        <v>9502.02</v>
      </c>
      <c r="M582" s="654" t="s">
        <v>56</v>
      </c>
    </row>
    <row r="583" spans="6:13">
      <c r="F583" s="650">
        <v>22</v>
      </c>
      <c r="G583" s="653" t="s">
        <v>88</v>
      </c>
      <c r="L583" s="654">
        <v>9502.0300000000007</v>
      </c>
      <c r="M583" s="654" t="s">
        <v>56</v>
      </c>
    </row>
    <row r="584" spans="6:13">
      <c r="F584" s="650">
        <v>24</v>
      </c>
      <c r="G584" s="653" t="s">
        <v>88</v>
      </c>
      <c r="L584" s="654">
        <v>9502.0400000000009</v>
      </c>
      <c r="M584" s="654" t="s">
        <v>56</v>
      </c>
    </row>
    <row r="585" spans="6:13">
      <c r="F585" s="650">
        <v>29</v>
      </c>
      <c r="G585" s="653" t="s">
        <v>88</v>
      </c>
      <c r="L585" s="654">
        <v>1</v>
      </c>
      <c r="M585" s="654" t="s">
        <v>57</v>
      </c>
    </row>
    <row r="586" spans="6:13">
      <c r="F586" s="650">
        <v>30</v>
      </c>
      <c r="G586" s="653" t="s">
        <v>88</v>
      </c>
      <c r="L586" s="654">
        <v>9602</v>
      </c>
      <c r="M586" s="654" t="s">
        <v>58</v>
      </c>
    </row>
    <row r="587" spans="6:13">
      <c r="F587" s="650">
        <v>31.02</v>
      </c>
      <c r="G587" s="653" t="s">
        <v>88</v>
      </c>
      <c r="L587" s="654">
        <v>9603</v>
      </c>
      <c r="M587" s="654" t="s">
        <v>58</v>
      </c>
    </row>
    <row r="588" spans="6:13">
      <c r="F588" s="650">
        <v>37</v>
      </c>
      <c r="G588" s="653" t="s">
        <v>88</v>
      </c>
      <c r="L588" s="654">
        <v>9701.01</v>
      </c>
      <c r="M588" s="654" t="s">
        <v>60</v>
      </c>
    </row>
    <row r="589" spans="6:13">
      <c r="F589" s="650">
        <v>40.07</v>
      </c>
      <c r="G589" s="653" t="s">
        <v>88</v>
      </c>
      <c r="L589" s="654">
        <v>9701.02</v>
      </c>
      <c r="M589" s="654" t="s">
        <v>60</v>
      </c>
    </row>
    <row r="590" spans="6:13">
      <c r="F590" s="650">
        <v>40.090000000000003</v>
      </c>
      <c r="G590" s="653" t="s">
        <v>88</v>
      </c>
      <c r="L590" s="654">
        <v>9702.02</v>
      </c>
      <c r="M590" s="654" t="s">
        <v>60</v>
      </c>
    </row>
    <row r="591" spans="6:13">
      <c r="F591" s="650">
        <v>44.02</v>
      </c>
      <c r="G591" s="653" t="s">
        <v>88</v>
      </c>
      <c r="L591" s="654">
        <v>9703</v>
      </c>
      <c r="M591" s="654" t="s">
        <v>60</v>
      </c>
    </row>
    <row r="592" spans="6:13">
      <c r="F592" s="650">
        <v>45</v>
      </c>
      <c r="G592" s="653" t="s">
        <v>88</v>
      </c>
      <c r="L592" s="654">
        <v>1</v>
      </c>
      <c r="M592" s="654" t="s">
        <v>61</v>
      </c>
    </row>
    <row r="593" spans="6:13">
      <c r="F593" s="650">
        <v>46.02</v>
      </c>
      <c r="G593" s="653" t="s">
        <v>88</v>
      </c>
      <c r="L593" s="654">
        <v>4.01</v>
      </c>
      <c r="M593" s="654" t="s">
        <v>61</v>
      </c>
    </row>
    <row r="594" spans="6:13">
      <c r="F594" s="650">
        <v>47.04</v>
      </c>
      <c r="G594" s="653" t="s">
        <v>88</v>
      </c>
      <c r="L594" s="654">
        <v>4.0199999999999996</v>
      </c>
      <c r="M594" s="654" t="s">
        <v>61</v>
      </c>
    </row>
    <row r="595" spans="6:13">
      <c r="F595" s="650">
        <v>47.05</v>
      </c>
      <c r="G595" s="653" t="s">
        <v>88</v>
      </c>
      <c r="L595" s="654">
        <v>402.01</v>
      </c>
      <c r="M595" s="654" t="s">
        <v>62</v>
      </c>
    </row>
    <row r="596" spans="6:13">
      <c r="F596" s="650">
        <v>49.03</v>
      </c>
      <c r="G596" s="653" t="s">
        <v>88</v>
      </c>
      <c r="L596" s="654">
        <v>402.02</v>
      </c>
      <c r="M596" s="654" t="s">
        <v>62</v>
      </c>
    </row>
    <row r="597" spans="6:13">
      <c r="F597" s="650">
        <v>51.01</v>
      </c>
      <c r="G597" s="653" t="s">
        <v>88</v>
      </c>
      <c r="L597" s="654">
        <v>403.01</v>
      </c>
      <c r="M597" s="654" t="s">
        <v>62</v>
      </c>
    </row>
    <row r="598" spans="6:13">
      <c r="F598" s="650">
        <v>51.02</v>
      </c>
      <c r="G598" s="653" t="s">
        <v>88</v>
      </c>
      <c r="L598" s="654">
        <v>403.02</v>
      </c>
      <c r="M598" s="654" t="s">
        <v>62</v>
      </c>
    </row>
    <row r="599" spans="6:13">
      <c r="F599" s="650">
        <v>52.02</v>
      </c>
      <c r="G599" s="653" t="s">
        <v>88</v>
      </c>
      <c r="L599" s="654">
        <v>403.03</v>
      </c>
      <c r="M599" s="654" t="s">
        <v>62</v>
      </c>
    </row>
    <row r="600" spans="6:13">
      <c r="F600" s="650">
        <v>57.01</v>
      </c>
      <c r="G600" s="653" t="s">
        <v>88</v>
      </c>
      <c r="L600" s="654">
        <v>407.02</v>
      </c>
      <c r="M600" s="654" t="s">
        <v>62</v>
      </c>
    </row>
    <row r="601" spans="6:13">
      <c r="F601" s="650">
        <v>57.02</v>
      </c>
      <c r="G601" s="653" t="s">
        <v>88</v>
      </c>
      <c r="L601" s="654">
        <v>409.05</v>
      </c>
      <c r="M601" s="654" t="s">
        <v>62</v>
      </c>
    </row>
    <row r="602" spans="6:13">
      <c r="F602" s="650">
        <v>58.14</v>
      </c>
      <c r="G602" s="653" t="s">
        <v>88</v>
      </c>
      <c r="L602" s="654">
        <v>409.06</v>
      </c>
      <c r="M602" s="654" t="s">
        <v>62</v>
      </c>
    </row>
    <row r="603" spans="6:13">
      <c r="F603" s="650">
        <v>68.02</v>
      </c>
      <c r="G603" s="653" t="s">
        <v>88</v>
      </c>
      <c r="L603" s="654">
        <v>409.07</v>
      </c>
      <c r="M603" s="654" t="s">
        <v>62</v>
      </c>
    </row>
    <row r="604" spans="6:13">
      <c r="F604" s="650">
        <v>77.459999999999994</v>
      </c>
      <c r="G604" s="653" t="s">
        <v>88</v>
      </c>
      <c r="L604" s="654">
        <v>409.08</v>
      </c>
      <c r="M604" s="654" t="s">
        <v>62</v>
      </c>
    </row>
    <row r="605" spans="6:13">
      <c r="F605" s="650">
        <v>78.33</v>
      </c>
      <c r="G605" s="653" t="s">
        <v>88</v>
      </c>
      <c r="L605" s="654">
        <v>409.09</v>
      </c>
      <c r="M605" s="654" t="s">
        <v>62</v>
      </c>
    </row>
    <row r="606" spans="6:13">
      <c r="F606" s="650">
        <v>80.010000000000005</v>
      </c>
      <c r="G606" s="653" t="s">
        <v>88</v>
      </c>
      <c r="L606" s="654">
        <v>409.1</v>
      </c>
      <c r="M606" s="654" t="s">
        <v>62</v>
      </c>
    </row>
    <row r="607" spans="6:13">
      <c r="F607" s="650">
        <v>80.02</v>
      </c>
      <c r="G607" s="653" t="s">
        <v>88</v>
      </c>
      <c r="L607" s="654">
        <v>409.11</v>
      </c>
      <c r="M607" s="654" t="s">
        <v>62</v>
      </c>
    </row>
    <row r="608" spans="6:13">
      <c r="F608" s="650">
        <v>81.010000000000005</v>
      </c>
      <c r="G608" s="653" t="s">
        <v>88</v>
      </c>
      <c r="L608" s="654">
        <v>410.04</v>
      </c>
      <c r="M608" s="654" t="s">
        <v>62</v>
      </c>
    </row>
    <row r="609" spans="6:13">
      <c r="F609" s="650">
        <v>82.01</v>
      </c>
      <c r="G609" s="653" t="s">
        <v>88</v>
      </c>
      <c r="L609" s="654">
        <v>410.05</v>
      </c>
      <c r="M609" s="654" t="s">
        <v>62</v>
      </c>
    </row>
    <row r="610" spans="6:13">
      <c r="F610" s="650">
        <v>82.02</v>
      </c>
      <c r="G610" s="653" t="s">
        <v>88</v>
      </c>
      <c r="L610" s="654">
        <v>410.06</v>
      </c>
      <c r="M610" s="654" t="s">
        <v>62</v>
      </c>
    </row>
    <row r="611" spans="6:13">
      <c r="F611" s="650">
        <v>82.03</v>
      </c>
      <c r="G611" s="653" t="s">
        <v>88</v>
      </c>
      <c r="L611" s="654">
        <v>411.04</v>
      </c>
      <c r="M611" s="654" t="s">
        <v>62</v>
      </c>
    </row>
    <row r="612" spans="6:13">
      <c r="F612" s="650">
        <v>83.01</v>
      </c>
      <c r="G612" s="653" t="s">
        <v>88</v>
      </c>
      <c r="L612" s="654">
        <v>411.06</v>
      </c>
      <c r="M612" s="654" t="s">
        <v>62</v>
      </c>
    </row>
    <row r="613" spans="6:13">
      <c r="F613" s="650">
        <v>83.02</v>
      </c>
      <c r="G613" s="653" t="s">
        <v>88</v>
      </c>
      <c r="L613" s="654">
        <v>412.01</v>
      </c>
      <c r="M613" s="654" t="s">
        <v>62</v>
      </c>
    </row>
    <row r="614" spans="6:13">
      <c r="F614" s="650">
        <v>301.02</v>
      </c>
      <c r="G614" s="653" t="s">
        <v>89</v>
      </c>
      <c r="L614" s="654">
        <v>412.03</v>
      </c>
      <c r="M614" s="654" t="s">
        <v>62</v>
      </c>
    </row>
    <row r="615" spans="6:13">
      <c r="F615" s="650">
        <v>302.02999999999997</v>
      </c>
      <c r="G615" s="653" t="s">
        <v>89</v>
      </c>
      <c r="L615" s="654">
        <v>413.03</v>
      </c>
      <c r="M615" s="654" t="s">
        <v>62</v>
      </c>
    </row>
    <row r="616" spans="6:13">
      <c r="F616" s="650">
        <v>302.04000000000002</v>
      </c>
      <c r="G616" s="653" t="s">
        <v>89</v>
      </c>
      <c r="L616" s="654">
        <v>413.05</v>
      </c>
      <c r="M616" s="654" t="s">
        <v>62</v>
      </c>
    </row>
    <row r="617" spans="6:13">
      <c r="F617" s="650">
        <v>303.02</v>
      </c>
      <c r="G617" s="653" t="s">
        <v>89</v>
      </c>
      <c r="L617" s="654">
        <v>414.02</v>
      </c>
      <c r="M617" s="654" t="s">
        <v>62</v>
      </c>
    </row>
    <row r="618" spans="6:13">
      <c r="F618" s="650">
        <v>304.07</v>
      </c>
      <c r="G618" s="653" t="s">
        <v>89</v>
      </c>
      <c r="L618" s="654">
        <v>415.01</v>
      </c>
      <c r="M618" s="654" t="s">
        <v>62</v>
      </c>
    </row>
    <row r="619" spans="6:13">
      <c r="F619" s="650">
        <v>304.08</v>
      </c>
      <c r="G619" s="653" t="s">
        <v>89</v>
      </c>
      <c r="L619" s="654">
        <v>415.02</v>
      </c>
      <c r="M619" s="654" t="s">
        <v>62</v>
      </c>
    </row>
    <row r="620" spans="6:13">
      <c r="F620" s="650">
        <v>304.10000000000002</v>
      </c>
      <c r="G620" s="653" t="s">
        <v>89</v>
      </c>
      <c r="L620" s="654">
        <v>416</v>
      </c>
      <c r="M620" s="654" t="s">
        <v>62</v>
      </c>
    </row>
    <row r="621" spans="6:13">
      <c r="F621" s="650">
        <v>304.11</v>
      </c>
      <c r="G621" s="653" t="s">
        <v>89</v>
      </c>
      <c r="L621" s="654">
        <v>9601.01</v>
      </c>
      <c r="M621" s="654" t="s">
        <v>63</v>
      </c>
    </row>
    <row r="622" spans="6:13">
      <c r="F622" s="650">
        <v>304.12</v>
      </c>
      <c r="G622" s="653" t="s">
        <v>89</v>
      </c>
      <c r="L622" s="654">
        <v>9604</v>
      </c>
      <c r="M622" s="654" t="s">
        <v>63</v>
      </c>
    </row>
    <row r="623" spans="6:13">
      <c r="F623" s="650">
        <v>306.02</v>
      </c>
      <c r="G623" s="653" t="s">
        <v>89</v>
      </c>
      <c r="L623" s="654">
        <v>9605.02</v>
      </c>
      <c r="M623" s="654" t="s">
        <v>63</v>
      </c>
    </row>
    <row r="624" spans="6:13">
      <c r="F624" s="650">
        <v>308</v>
      </c>
      <c r="G624" s="653" t="s">
        <v>89</v>
      </c>
      <c r="L624" s="654">
        <v>9606.01</v>
      </c>
      <c r="M624" s="654" t="s">
        <v>63</v>
      </c>
    </row>
    <row r="625" spans="6:13">
      <c r="F625" s="650">
        <v>310.05</v>
      </c>
      <c r="G625" s="653" t="s">
        <v>89</v>
      </c>
      <c r="L625" s="654">
        <v>9606.02</v>
      </c>
      <c r="M625" s="654" t="s">
        <v>63</v>
      </c>
    </row>
    <row r="626" spans="6:13">
      <c r="F626" s="650">
        <v>310.08</v>
      </c>
      <c r="G626" s="653" t="s">
        <v>89</v>
      </c>
      <c r="L626" s="654">
        <v>9607</v>
      </c>
      <c r="M626" s="654" t="s">
        <v>63</v>
      </c>
    </row>
    <row r="627" spans="6:13">
      <c r="F627" s="650">
        <v>310.08999999999997</v>
      </c>
      <c r="G627" s="653" t="s">
        <v>89</v>
      </c>
      <c r="L627" s="654">
        <v>9610</v>
      </c>
      <c r="M627" s="654" t="s">
        <v>63</v>
      </c>
    </row>
    <row r="628" spans="6:13">
      <c r="F628" s="650">
        <v>310.10000000000002</v>
      </c>
      <c r="G628" s="653" t="s">
        <v>89</v>
      </c>
      <c r="L628" s="654">
        <v>9613.01</v>
      </c>
      <c r="M628" s="654" t="s">
        <v>63</v>
      </c>
    </row>
    <row r="629" spans="6:13">
      <c r="F629" s="650">
        <v>314.04000000000002</v>
      </c>
      <c r="G629" s="653" t="s">
        <v>89</v>
      </c>
      <c r="L629" s="654">
        <v>9613.02</v>
      </c>
      <c r="M629" s="654" t="s">
        <v>63</v>
      </c>
    </row>
    <row r="630" spans="6:13">
      <c r="F630" s="650">
        <v>314.05</v>
      </c>
      <c r="G630" s="653" t="s">
        <v>89</v>
      </c>
      <c r="L630" s="654">
        <v>9614</v>
      </c>
      <c r="M630" s="654" t="s">
        <v>63</v>
      </c>
    </row>
    <row r="631" spans="6:13">
      <c r="F631" s="650">
        <v>314.06</v>
      </c>
      <c r="G631" s="653" t="s">
        <v>89</v>
      </c>
      <c r="L631" s="654">
        <v>9616.01</v>
      </c>
      <c r="M631" s="654" t="s">
        <v>63</v>
      </c>
    </row>
    <row r="632" spans="6:13">
      <c r="F632" s="650">
        <v>314.08</v>
      </c>
      <c r="G632" s="653" t="s">
        <v>89</v>
      </c>
      <c r="L632" s="654">
        <v>9616.02</v>
      </c>
      <c r="M632" s="654" t="s">
        <v>63</v>
      </c>
    </row>
    <row r="633" spans="6:13">
      <c r="F633" s="650">
        <v>317.02999999999997</v>
      </c>
      <c r="G633" s="653" t="s">
        <v>89</v>
      </c>
      <c r="L633" s="654">
        <v>5</v>
      </c>
      <c r="M633" s="654" t="s">
        <v>64</v>
      </c>
    </row>
    <row r="634" spans="6:13">
      <c r="F634" s="650">
        <v>318.06</v>
      </c>
      <c r="G634" s="653" t="s">
        <v>89</v>
      </c>
      <c r="L634" s="654">
        <v>11</v>
      </c>
      <c r="M634" s="654" t="s">
        <v>64</v>
      </c>
    </row>
    <row r="635" spans="6:13">
      <c r="F635" s="650">
        <v>318.07</v>
      </c>
      <c r="G635" s="653" t="s">
        <v>89</v>
      </c>
      <c r="L635" s="654">
        <v>15</v>
      </c>
      <c r="M635" s="654" t="s">
        <v>64</v>
      </c>
    </row>
    <row r="636" spans="6:13">
      <c r="F636" s="650">
        <v>318.08999999999997</v>
      </c>
      <c r="G636" s="653" t="s">
        <v>89</v>
      </c>
      <c r="L636" s="654">
        <v>16</v>
      </c>
      <c r="M636" s="654" t="s">
        <v>64</v>
      </c>
    </row>
    <row r="637" spans="6:13">
      <c r="F637" s="650">
        <v>324.02</v>
      </c>
      <c r="G637" s="653" t="s">
        <v>89</v>
      </c>
      <c r="L637" s="654">
        <v>17</v>
      </c>
      <c r="M637" s="654" t="s">
        <v>64</v>
      </c>
    </row>
    <row r="638" spans="6:13">
      <c r="F638" s="650">
        <v>326.01</v>
      </c>
      <c r="G638" s="653" t="s">
        <v>89</v>
      </c>
      <c r="L638" s="654">
        <v>22</v>
      </c>
      <c r="M638" s="654" t="s">
        <v>64</v>
      </c>
    </row>
    <row r="639" spans="6:13">
      <c r="F639" s="650">
        <v>326.02</v>
      </c>
      <c r="G639" s="653" t="s">
        <v>89</v>
      </c>
      <c r="L639" s="654">
        <v>23</v>
      </c>
      <c r="M639" s="654" t="s">
        <v>64</v>
      </c>
    </row>
    <row r="640" spans="6:13">
      <c r="F640" s="650">
        <v>328.04</v>
      </c>
      <c r="G640" s="653" t="s">
        <v>89</v>
      </c>
      <c r="L640" s="654">
        <v>28</v>
      </c>
      <c r="M640" s="654" t="s">
        <v>64</v>
      </c>
    </row>
    <row r="641" spans="6:13">
      <c r="F641" s="650">
        <v>329.01</v>
      </c>
      <c r="G641" s="653" t="s">
        <v>89</v>
      </c>
      <c r="L641" s="654">
        <v>46</v>
      </c>
      <c r="M641" s="654" t="s">
        <v>64</v>
      </c>
    </row>
    <row r="642" spans="6:13">
      <c r="F642" s="650">
        <v>330.08</v>
      </c>
      <c r="G642" s="653" t="s">
        <v>89</v>
      </c>
      <c r="L642" s="654">
        <v>47</v>
      </c>
      <c r="M642" s="654" t="s">
        <v>64</v>
      </c>
    </row>
    <row r="643" spans="6:13">
      <c r="F643" s="650">
        <v>330.09</v>
      </c>
      <c r="G643" s="653" t="s">
        <v>89</v>
      </c>
      <c r="L643" s="654">
        <v>49</v>
      </c>
      <c r="M643" s="654" t="s">
        <v>64</v>
      </c>
    </row>
    <row r="644" spans="6:13">
      <c r="F644" s="650">
        <v>330.12</v>
      </c>
      <c r="G644" s="653" t="s">
        <v>89</v>
      </c>
      <c r="L644" s="654">
        <v>51.01</v>
      </c>
      <c r="M644" s="654" t="s">
        <v>64</v>
      </c>
    </row>
    <row r="645" spans="6:13">
      <c r="F645" s="650">
        <v>330.13</v>
      </c>
      <c r="G645" s="653" t="s">
        <v>89</v>
      </c>
      <c r="L645" s="654">
        <v>51.02</v>
      </c>
      <c r="M645" s="654" t="s">
        <v>64</v>
      </c>
    </row>
    <row r="646" spans="6:13">
      <c r="F646" s="650">
        <v>330.14</v>
      </c>
      <c r="G646" s="653" t="s">
        <v>89</v>
      </c>
      <c r="L646" s="654">
        <v>53.01</v>
      </c>
      <c r="M646" s="654" t="s">
        <v>64</v>
      </c>
    </row>
    <row r="647" spans="6:13">
      <c r="F647" s="650">
        <v>201.01</v>
      </c>
      <c r="G647" s="653" t="s">
        <v>90</v>
      </c>
      <c r="L647" s="654">
        <v>54.01</v>
      </c>
      <c r="M647" s="654" t="s">
        <v>64</v>
      </c>
    </row>
    <row r="648" spans="6:13">
      <c r="F648" s="650">
        <v>205</v>
      </c>
      <c r="G648" s="653" t="s">
        <v>90</v>
      </c>
      <c r="L648" s="654">
        <v>55</v>
      </c>
      <c r="M648" s="654" t="s">
        <v>64</v>
      </c>
    </row>
    <row r="649" spans="6:13">
      <c r="F649" s="650">
        <v>206</v>
      </c>
      <c r="G649" s="653" t="s">
        <v>90</v>
      </c>
      <c r="L649" s="654">
        <v>57</v>
      </c>
      <c r="M649" s="654" t="s">
        <v>64</v>
      </c>
    </row>
    <row r="650" spans="6:13">
      <c r="F650" s="650">
        <v>207</v>
      </c>
      <c r="G650" s="653" t="s">
        <v>90</v>
      </c>
      <c r="L650" s="654">
        <v>58</v>
      </c>
      <c r="M650" s="654" t="s">
        <v>64</v>
      </c>
    </row>
    <row r="651" spans="6:13">
      <c r="F651" s="650">
        <v>208</v>
      </c>
      <c r="G651" s="653" t="s">
        <v>90</v>
      </c>
      <c r="L651" s="654">
        <v>59</v>
      </c>
      <c r="M651" s="654" t="s">
        <v>64</v>
      </c>
    </row>
    <row r="652" spans="6:13">
      <c r="F652" s="650">
        <v>212</v>
      </c>
      <c r="G652" s="653" t="s">
        <v>90</v>
      </c>
      <c r="L652" s="654">
        <v>60</v>
      </c>
      <c r="M652" s="654" t="s">
        <v>64</v>
      </c>
    </row>
    <row r="653" spans="6:13">
      <c r="F653" s="650">
        <v>216</v>
      </c>
      <c r="G653" s="653" t="s">
        <v>90</v>
      </c>
      <c r="L653" s="654">
        <v>61.01</v>
      </c>
      <c r="M653" s="654" t="s">
        <v>64</v>
      </c>
    </row>
    <row r="654" spans="6:13">
      <c r="F654" s="650">
        <v>220</v>
      </c>
      <c r="G654" s="653" t="s">
        <v>90</v>
      </c>
      <c r="L654" s="654">
        <v>61.03</v>
      </c>
      <c r="M654" s="654" t="s">
        <v>64</v>
      </c>
    </row>
    <row r="655" spans="6:13">
      <c r="F655" s="650">
        <v>245.1</v>
      </c>
      <c r="G655" s="653" t="s">
        <v>90</v>
      </c>
      <c r="L655" s="654">
        <v>62</v>
      </c>
      <c r="M655" s="654" t="s">
        <v>64</v>
      </c>
    </row>
    <row r="656" spans="6:13">
      <c r="F656" s="650">
        <v>245.14</v>
      </c>
      <c r="G656" s="653" t="s">
        <v>90</v>
      </c>
      <c r="L656" s="654">
        <v>63</v>
      </c>
      <c r="M656" s="654" t="s">
        <v>64</v>
      </c>
    </row>
    <row r="657" spans="6:13">
      <c r="F657" s="650">
        <v>246.02</v>
      </c>
      <c r="G657" s="653" t="s">
        <v>90</v>
      </c>
      <c r="L657" s="654">
        <v>64</v>
      </c>
      <c r="M657" s="654" t="s">
        <v>64</v>
      </c>
    </row>
    <row r="658" spans="6:13">
      <c r="F658" s="650">
        <v>247.01</v>
      </c>
      <c r="G658" s="653" t="s">
        <v>90</v>
      </c>
      <c r="L658" s="654">
        <v>65.010000000000005</v>
      </c>
      <c r="M658" s="654" t="s">
        <v>64</v>
      </c>
    </row>
    <row r="659" spans="6:13">
      <c r="F659" s="650">
        <v>247.02</v>
      </c>
      <c r="G659" s="653" t="s">
        <v>90</v>
      </c>
      <c r="L659" s="654">
        <v>66</v>
      </c>
      <c r="M659" s="654" t="s">
        <v>64</v>
      </c>
    </row>
    <row r="660" spans="6:13">
      <c r="F660" s="650">
        <v>248.04</v>
      </c>
      <c r="G660" s="653" t="s">
        <v>90</v>
      </c>
      <c r="L660" s="654">
        <v>67</v>
      </c>
      <c r="M660" s="654" t="s">
        <v>64</v>
      </c>
    </row>
    <row r="661" spans="6:13">
      <c r="F661" s="650">
        <v>250.17</v>
      </c>
      <c r="G661" s="653" t="s">
        <v>90</v>
      </c>
      <c r="L661" s="654">
        <v>68.010000000000005</v>
      </c>
      <c r="M661" s="654" t="s">
        <v>64</v>
      </c>
    </row>
    <row r="662" spans="6:13">
      <c r="F662" s="650">
        <v>251.15</v>
      </c>
      <c r="G662" s="653" t="s">
        <v>90</v>
      </c>
      <c r="L662" s="654">
        <v>68.02</v>
      </c>
      <c r="M662" s="654" t="s">
        <v>64</v>
      </c>
    </row>
    <row r="663" spans="6:13">
      <c r="F663" s="650">
        <v>253.05</v>
      </c>
      <c r="G663" s="653" t="s">
        <v>90</v>
      </c>
      <c r="L663" s="654">
        <v>69</v>
      </c>
      <c r="M663" s="654" t="s">
        <v>64</v>
      </c>
    </row>
    <row r="664" spans="6:13">
      <c r="F664" s="650">
        <v>255.05</v>
      </c>
      <c r="G664" s="653" t="s">
        <v>90</v>
      </c>
      <c r="L664" s="654">
        <v>71.02</v>
      </c>
      <c r="M664" s="654" t="s">
        <v>64</v>
      </c>
    </row>
    <row r="665" spans="6:13">
      <c r="F665" s="650">
        <v>256.02</v>
      </c>
      <c r="G665" s="653" t="s">
        <v>90</v>
      </c>
      <c r="L665" s="654">
        <v>71.03</v>
      </c>
      <c r="M665" s="654" t="s">
        <v>64</v>
      </c>
    </row>
    <row r="666" spans="6:13">
      <c r="F666" s="650">
        <v>258</v>
      </c>
      <c r="G666" s="653" t="s">
        <v>90</v>
      </c>
      <c r="L666" s="654">
        <v>72</v>
      </c>
      <c r="M666" s="654" t="s">
        <v>64</v>
      </c>
    </row>
    <row r="667" spans="6:13">
      <c r="F667" s="650">
        <v>259</v>
      </c>
      <c r="G667" s="653" t="s">
        <v>90</v>
      </c>
      <c r="L667" s="654">
        <v>101.06</v>
      </c>
      <c r="M667" s="654" t="s">
        <v>64</v>
      </c>
    </row>
    <row r="668" spans="6:13">
      <c r="F668" s="650">
        <v>262</v>
      </c>
      <c r="G668" s="653" t="s">
        <v>90</v>
      </c>
      <c r="L668" s="654">
        <v>101.08</v>
      </c>
      <c r="M668" s="654" t="s">
        <v>64</v>
      </c>
    </row>
    <row r="669" spans="6:13">
      <c r="F669" s="650">
        <v>263</v>
      </c>
      <c r="G669" s="653" t="s">
        <v>90</v>
      </c>
      <c r="L669" s="654">
        <v>102.04</v>
      </c>
      <c r="M669" s="654" t="s">
        <v>64</v>
      </c>
    </row>
    <row r="670" spans="6:13">
      <c r="F670" s="650">
        <v>269.08999999999997</v>
      </c>
      <c r="G670" s="653" t="s">
        <v>90</v>
      </c>
      <c r="L670" s="654">
        <v>102.05</v>
      </c>
      <c r="M670" s="654" t="s">
        <v>64</v>
      </c>
    </row>
    <row r="671" spans="6:13">
      <c r="F671" s="650">
        <v>271.01</v>
      </c>
      <c r="G671" s="653" t="s">
        <v>90</v>
      </c>
      <c r="L671" s="654">
        <v>102.09</v>
      </c>
      <c r="M671" s="654" t="s">
        <v>64</v>
      </c>
    </row>
    <row r="672" spans="6:13">
      <c r="F672" s="650">
        <v>274.02</v>
      </c>
      <c r="G672" s="653" t="s">
        <v>90</v>
      </c>
      <c r="L672" s="654">
        <v>102.1</v>
      </c>
      <c r="M672" s="654" t="s">
        <v>64</v>
      </c>
    </row>
    <row r="673" spans="6:13">
      <c r="F673" s="650">
        <v>287</v>
      </c>
      <c r="G673" s="653" t="s">
        <v>90</v>
      </c>
      <c r="L673" s="654">
        <v>102.11</v>
      </c>
      <c r="M673" s="654" t="s">
        <v>64</v>
      </c>
    </row>
    <row r="674" spans="6:13">
      <c r="F674" s="650">
        <v>103</v>
      </c>
      <c r="G674" s="650" t="s">
        <v>92</v>
      </c>
      <c r="L674" s="654">
        <v>102.12</v>
      </c>
      <c r="M674" s="654" t="s">
        <v>64</v>
      </c>
    </row>
    <row r="675" spans="6:13">
      <c r="F675" s="650">
        <v>110</v>
      </c>
      <c r="G675" s="650" t="s">
        <v>92</v>
      </c>
      <c r="L675" s="654">
        <v>104.01</v>
      </c>
      <c r="M675" s="654" t="s">
        <v>64</v>
      </c>
    </row>
    <row r="676" spans="6:13">
      <c r="F676" s="650">
        <v>111</v>
      </c>
      <c r="G676" s="650" t="s">
        <v>92</v>
      </c>
      <c r="L676" s="654">
        <v>106</v>
      </c>
      <c r="M676" s="654" t="s">
        <v>64</v>
      </c>
    </row>
    <row r="677" spans="6:13">
      <c r="F677" s="650">
        <v>112.02</v>
      </c>
      <c r="G677" s="650" t="s">
        <v>92</v>
      </c>
      <c r="L677" s="654">
        <v>107.01</v>
      </c>
      <c r="M677" s="654" t="s">
        <v>64</v>
      </c>
    </row>
    <row r="678" spans="6:13">
      <c r="F678" s="650">
        <v>112.03</v>
      </c>
      <c r="G678" s="650" t="s">
        <v>92</v>
      </c>
      <c r="L678" s="654">
        <v>107.02</v>
      </c>
      <c r="M678" s="654" t="s">
        <v>64</v>
      </c>
    </row>
    <row r="679" spans="6:13">
      <c r="F679" s="650">
        <v>112.04</v>
      </c>
      <c r="G679" s="650" t="s">
        <v>92</v>
      </c>
      <c r="L679" s="654">
        <v>108.1</v>
      </c>
      <c r="M679" s="654" t="s">
        <v>64</v>
      </c>
    </row>
    <row r="680" spans="6:13">
      <c r="F680" s="650">
        <v>113</v>
      </c>
      <c r="G680" s="650" t="s">
        <v>92</v>
      </c>
      <c r="L680" s="654">
        <v>108.11</v>
      </c>
      <c r="M680" s="654" t="s">
        <v>64</v>
      </c>
    </row>
    <row r="681" spans="6:13">
      <c r="F681" s="650">
        <v>114</v>
      </c>
      <c r="G681" s="650" t="s">
        <v>92</v>
      </c>
      <c r="L681" s="654">
        <v>110.05</v>
      </c>
      <c r="M681" s="654" t="s">
        <v>64</v>
      </c>
    </row>
    <row r="682" spans="6:13">
      <c r="F682" s="650">
        <v>115.01</v>
      </c>
      <c r="G682" s="650" t="s">
        <v>92</v>
      </c>
      <c r="L682" s="654">
        <v>110.06</v>
      </c>
      <c r="M682" s="654" t="s">
        <v>64</v>
      </c>
    </row>
    <row r="683" spans="6:13">
      <c r="F683" s="650">
        <v>116.04</v>
      </c>
      <c r="G683" s="650" t="s">
        <v>92</v>
      </c>
      <c r="L683" s="654">
        <v>110.07</v>
      </c>
      <c r="M683" s="654" t="s">
        <v>64</v>
      </c>
    </row>
    <row r="684" spans="6:13">
      <c r="F684" s="650">
        <v>117.04</v>
      </c>
      <c r="G684" s="650" t="s">
        <v>92</v>
      </c>
      <c r="L684" s="654">
        <v>110.08</v>
      </c>
      <c r="M684" s="654" t="s">
        <v>64</v>
      </c>
    </row>
    <row r="685" spans="6:13">
      <c r="F685" s="650">
        <v>117.31</v>
      </c>
      <c r="G685" s="650" t="s">
        <v>92</v>
      </c>
      <c r="L685" s="654">
        <v>110.12</v>
      </c>
      <c r="M685" s="654" t="s">
        <v>64</v>
      </c>
    </row>
    <row r="686" spans="6:13">
      <c r="F686" s="650">
        <v>117.32</v>
      </c>
      <c r="G686" s="650" t="s">
        <v>92</v>
      </c>
      <c r="L686" s="654">
        <v>110.13</v>
      </c>
      <c r="M686" s="654" t="s">
        <v>64</v>
      </c>
    </row>
    <row r="687" spans="6:13">
      <c r="F687" s="650">
        <v>123.07</v>
      </c>
      <c r="G687" s="650" t="s">
        <v>92</v>
      </c>
      <c r="L687" s="654">
        <v>110.14</v>
      </c>
      <c r="M687" s="654" t="s">
        <v>64</v>
      </c>
    </row>
    <row r="688" spans="6:13">
      <c r="F688" s="650">
        <v>126.01</v>
      </c>
      <c r="G688" s="650" t="s">
        <v>92</v>
      </c>
      <c r="L688" s="654">
        <v>110.15</v>
      </c>
      <c r="M688" s="654" t="s">
        <v>64</v>
      </c>
    </row>
    <row r="689" spans="6:13">
      <c r="F689" s="650">
        <v>126.02</v>
      </c>
      <c r="G689" s="650" t="s">
        <v>92</v>
      </c>
      <c r="L689" s="654">
        <v>110.16</v>
      </c>
      <c r="M689" s="654" t="s">
        <v>64</v>
      </c>
    </row>
    <row r="690" spans="6:13">
      <c r="F690" s="650">
        <v>130.02000000000001</v>
      </c>
      <c r="G690" s="650" t="s">
        <v>92</v>
      </c>
      <c r="L690" s="654">
        <v>111.03</v>
      </c>
      <c r="M690" s="654" t="s">
        <v>64</v>
      </c>
    </row>
    <row r="691" spans="6:13">
      <c r="F691" s="650">
        <v>131.02000000000001</v>
      </c>
      <c r="G691" s="650" t="s">
        <v>92</v>
      </c>
      <c r="L691" s="654">
        <v>111.06</v>
      </c>
      <c r="M691" s="654" t="s">
        <v>64</v>
      </c>
    </row>
    <row r="692" spans="6:13">
      <c r="F692" s="650">
        <v>131.03</v>
      </c>
      <c r="G692" s="650" t="s">
        <v>92</v>
      </c>
      <c r="L692" s="654">
        <v>111.07</v>
      </c>
      <c r="M692" s="654" t="s">
        <v>64</v>
      </c>
    </row>
    <row r="693" spans="6:13">
      <c r="F693" s="650">
        <v>132</v>
      </c>
      <c r="G693" s="650" t="s">
        <v>92</v>
      </c>
      <c r="L693" s="654">
        <v>111.08</v>
      </c>
      <c r="M693" s="654" t="s">
        <v>64</v>
      </c>
    </row>
    <row r="694" spans="6:13">
      <c r="F694" s="650">
        <v>133</v>
      </c>
      <c r="G694" s="650" t="s">
        <v>92</v>
      </c>
      <c r="L694" s="654">
        <v>111.09</v>
      </c>
      <c r="M694" s="654" t="s">
        <v>64</v>
      </c>
    </row>
    <row r="695" spans="6:13">
      <c r="F695" s="650">
        <v>134</v>
      </c>
      <c r="G695" s="650" t="s">
        <v>92</v>
      </c>
      <c r="L695" s="654">
        <v>112.03</v>
      </c>
      <c r="M695" s="654" t="s">
        <v>64</v>
      </c>
    </row>
    <row r="696" spans="6:13">
      <c r="F696" s="650">
        <v>136</v>
      </c>
      <c r="G696" s="650" t="s">
        <v>92</v>
      </c>
      <c r="L696" s="654">
        <v>112.05</v>
      </c>
      <c r="M696" s="654" t="s">
        <v>64</v>
      </c>
    </row>
    <row r="697" spans="6:13">
      <c r="F697" s="650">
        <v>137.01</v>
      </c>
      <c r="G697" s="650" t="s">
        <v>92</v>
      </c>
      <c r="L697" s="654">
        <v>113.01</v>
      </c>
      <c r="M697" s="654" t="s">
        <v>64</v>
      </c>
    </row>
    <row r="698" spans="6:13">
      <c r="F698" s="650">
        <v>141.21</v>
      </c>
      <c r="G698" s="650" t="s">
        <v>92</v>
      </c>
      <c r="L698" s="654">
        <v>113.03</v>
      </c>
      <c r="M698" s="654" t="s">
        <v>64</v>
      </c>
    </row>
    <row r="699" spans="6:13">
      <c r="F699" s="650">
        <v>143.01</v>
      </c>
      <c r="G699" s="650" t="s">
        <v>92</v>
      </c>
      <c r="L699" s="654">
        <v>113.04</v>
      </c>
      <c r="M699" s="654" t="s">
        <v>64</v>
      </c>
    </row>
    <row r="700" spans="6:13">
      <c r="F700" s="650">
        <v>145.02000000000001</v>
      </c>
      <c r="G700" s="650" t="s">
        <v>92</v>
      </c>
      <c r="L700" s="654">
        <v>114.07</v>
      </c>
      <c r="M700" s="654" t="s">
        <v>64</v>
      </c>
    </row>
    <row r="701" spans="6:13">
      <c r="F701" s="650">
        <v>149.02000000000001</v>
      </c>
      <c r="G701" s="650" t="s">
        <v>92</v>
      </c>
      <c r="L701" s="654">
        <v>114.08</v>
      </c>
      <c r="M701" s="654" t="s">
        <v>64</v>
      </c>
    </row>
    <row r="702" spans="6:13">
      <c r="F702" s="650">
        <v>152</v>
      </c>
      <c r="G702" s="650" t="s">
        <v>92</v>
      </c>
      <c r="L702" s="654">
        <v>114.09</v>
      </c>
      <c r="M702" s="654" t="s">
        <v>64</v>
      </c>
    </row>
    <row r="703" spans="6:13">
      <c r="F703" s="650">
        <v>154.05000000000001</v>
      </c>
      <c r="G703" s="650" t="s">
        <v>92</v>
      </c>
      <c r="L703" s="654">
        <v>114.1</v>
      </c>
      <c r="M703" s="654" t="s">
        <v>64</v>
      </c>
    </row>
    <row r="704" spans="6:13">
      <c r="F704" s="650">
        <v>155</v>
      </c>
      <c r="G704" s="650" t="s">
        <v>92</v>
      </c>
      <c r="L704" s="654">
        <v>114.11</v>
      </c>
      <c r="M704" s="654" t="s">
        <v>64</v>
      </c>
    </row>
    <row r="705" spans="6:13">
      <c r="F705" s="650">
        <v>158.02000000000001</v>
      </c>
      <c r="G705" s="650" t="s">
        <v>92</v>
      </c>
      <c r="L705" s="654">
        <v>114.12</v>
      </c>
      <c r="M705" s="654" t="s">
        <v>64</v>
      </c>
    </row>
    <row r="706" spans="6:13">
      <c r="F706" s="650">
        <v>164</v>
      </c>
      <c r="G706" s="650" t="s">
        <v>92</v>
      </c>
      <c r="L706" s="654">
        <v>114.13</v>
      </c>
      <c r="M706" s="654" t="s">
        <v>64</v>
      </c>
    </row>
    <row r="707" spans="6:13">
      <c r="F707" s="650">
        <v>107.05</v>
      </c>
      <c r="G707" s="653" t="s">
        <v>96</v>
      </c>
      <c r="L707" s="654">
        <v>114.14</v>
      </c>
      <c r="M707" s="654" t="s">
        <v>64</v>
      </c>
    </row>
    <row r="708" spans="6:13">
      <c r="F708" s="650">
        <v>2</v>
      </c>
      <c r="G708" s="653" t="s">
        <v>97</v>
      </c>
      <c r="L708" s="654">
        <v>114.15</v>
      </c>
      <c r="M708" s="654" t="s">
        <v>64</v>
      </c>
    </row>
    <row r="709" spans="6:13">
      <c r="F709" s="650">
        <v>3</v>
      </c>
      <c r="G709" s="653" t="s">
        <v>97</v>
      </c>
      <c r="L709" s="654">
        <v>114.16</v>
      </c>
      <c r="M709" s="654" t="s">
        <v>64</v>
      </c>
    </row>
    <row r="710" spans="6:13">
      <c r="F710" s="650">
        <v>4.0599999999999996</v>
      </c>
      <c r="G710" s="653" t="s">
        <v>97</v>
      </c>
      <c r="L710" s="654">
        <v>114.17</v>
      </c>
      <c r="M710" s="654" t="s">
        <v>64</v>
      </c>
    </row>
    <row r="711" spans="6:13">
      <c r="F711" s="650">
        <v>10</v>
      </c>
      <c r="G711" s="653" t="s">
        <v>97</v>
      </c>
      <c r="L711" s="654">
        <v>114.18</v>
      </c>
      <c r="M711" s="654" t="s">
        <v>64</v>
      </c>
    </row>
    <row r="712" spans="6:13">
      <c r="F712" s="650">
        <v>11.02</v>
      </c>
      <c r="G712" s="653" t="s">
        <v>97</v>
      </c>
      <c r="L712" s="654">
        <v>115.04</v>
      </c>
      <c r="M712" s="654" t="s">
        <v>64</v>
      </c>
    </row>
    <row r="713" spans="6:13">
      <c r="F713" s="650">
        <v>201.01</v>
      </c>
      <c r="G713" s="653" t="s">
        <v>98</v>
      </c>
      <c r="L713" s="654">
        <v>115.06</v>
      </c>
      <c r="M713" s="654" t="s">
        <v>64</v>
      </c>
    </row>
    <row r="714" spans="6:13">
      <c r="F714" s="650">
        <v>205</v>
      </c>
      <c r="G714" s="653" t="s">
        <v>98</v>
      </c>
      <c r="L714" s="654">
        <v>115.07</v>
      </c>
      <c r="M714" s="654" t="s">
        <v>64</v>
      </c>
    </row>
    <row r="715" spans="6:13">
      <c r="F715" s="650">
        <v>220.01</v>
      </c>
      <c r="G715" s="653" t="s">
        <v>98</v>
      </c>
      <c r="L715" s="654">
        <v>115.09</v>
      </c>
      <c r="M715" s="654" t="s">
        <v>64</v>
      </c>
    </row>
    <row r="716" spans="6:13">
      <c r="F716" s="650">
        <v>221.01</v>
      </c>
      <c r="G716" s="653" t="s">
        <v>98</v>
      </c>
      <c r="L716" s="654">
        <v>115.1</v>
      </c>
      <c r="M716" s="654" t="s">
        <v>64</v>
      </c>
    </row>
    <row r="717" spans="6:13">
      <c r="F717" s="650">
        <v>203</v>
      </c>
      <c r="G717" s="650" t="s">
        <v>94</v>
      </c>
      <c r="L717" s="654">
        <v>115.12</v>
      </c>
      <c r="M717" s="654" t="s">
        <v>64</v>
      </c>
    </row>
    <row r="718" spans="6:13">
      <c r="F718" s="650">
        <v>204</v>
      </c>
      <c r="G718" s="650" t="s">
        <v>94</v>
      </c>
      <c r="L718" s="654">
        <v>115.14</v>
      </c>
      <c r="M718" s="654" t="s">
        <v>64</v>
      </c>
    </row>
    <row r="719" spans="6:13">
      <c r="F719" s="650">
        <v>210.02</v>
      </c>
      <c r="G719" s="650" t="s">
        <v>94</v>
      </c>
      <c r="L719" s="654">
        <v>115.15</v>
      </c>
      <c r="M719" s="654" t="s">
        <v>64</v>
      </c>
    </row>
    <row r="720" spans="6:13">
      <c r="F720" s="650">
        <v>3801</v>
      </c>
      <c r="G720" s="653" t="s">
        <v>95</v>
      </c>
      <c r="L720" s="654">
        <v>115.16</v>
      </c>
      <c r="M720" s="654" t="s">
        <v>64</v>
      </c>
    </row>
    <row r="721" spans="6:13">
      <c r="F721" s="650">
        <v>3802</v>
      </c>
      <c r="G721" s="653" t="s">
        <v>95</v>
      </c>
      <c r="L721" s="654">
        <v>115.17</v>
      </c>
      <c r="M721" s="654" t="s">
        <v>64</v>
      </c>
    </row>
    <row r="722" spans="6:13">
      <c r="F722" s="650">
        <v>3803</v>
      </c>
      <c r="G722" s="653" t="s">
        <v>95</v>
      </c>
      <c r="L722" s="654">
        <v>115.18</v>
      </c>
      <c r="M722" s="654" t="s">
        <v>64</v>
      </c>
    </row>
    <row r="723" spans="6:13">
      <c r="F723" s="650">
        <v>3804</v>
      </c>
      <c r="G723" s="653" t="s">
        <v>95</v>
      </c>
      <c r="L723" s="654">
        <v>115.19</v>
      </c>
      <c r="M723" s="654" t="s">
        <v>64</v>
      </c>
    </row>
    <row r="724" spans="6:13">
      <c r="F724" s="650">
        <v>3805</v>
      </c>
      <c r="G724" s="653" t="s">
        <v>95</v>
      </c>
      <c r="L724" s="654">
        <v>115.2</v>
      </c>
      <c r="M724" s="654" t="s">
        <v>64</v>
      </c>
    </row>
    <row r="725" spans="6:13">
      <c r="F725" s="650">
        <v>3806</v>
      </c>
      <c r="G725" s="653" t="s">
        <v>95</v>
      </c>
      <c r="L725" s="654">
        <v>115.21</v>
      </c>
      <c r="M725" s="654" t="s">
        <v>64</v>
      </c>
    </row>
    <row r="726" spans="6:13">
      <c r="F726" s="650">
        <v>3809.01</v>
      </c>
      <c r="G726" s="653" t="s">
        <v>95</v>
      </c>
      <c r="L726" s="654">
        <v>115.22</v>
      </c>
      <c r="M726" s="654" t="s">
        <v>64</v>
      </c>
    </row>
    <row r="727" spans="6:13">
      <c r="F727" s="650">
        <v>3809.02</v>
      </c>
      <c r="G727" s="653" t="s">
        <v>95</v>
      </c>
      <c r="L727" s="654">
        <v>115.23</v>
      </c>
      <c r="M727" s="654" t="s">
        <v>64</v>
      </c>
    </row>
    <row r="728" spans="6:13">
      <c r="F728" s="650">
        <v>3814.01</v>
      </c>
      <c r="G728" s="653" t="s">
        <v>95</v>
      </c>
      <c r="L728" s="654">
        <v>115.24</v>
      </c>
      <c r="M728" s="654" t="s">
        <v>64</v>
      </c>
    </row>
    <row r="729" spans="6:13">
      <c r="F729" s="650">
        <v>809.01</v>
      </c>
      <c r="G729" s="650" t="s">
        <v>103</v>
      </c>
      <c r="L729" s="654">
        <v>116.06</v>
      </c>
      <c r="M729" s="654" t="s">
        <v>64</v>
      </c>
    </row>
    <row r="730" spans="6:13">
      <c r="F730" s="650">
        <v>809.02</v>
      </c>
      <c r="G730" s="650" t="s">
        <v>103</v>
      </c>
      <c r="L730" s="654">
        <v>116.08</v>
      </c>
      <c r="M730" s="654" t="s">
        <v>64</v>
      </c>
    </row>
    <row r="731" spans="6:13">
      <c r="F731" s="650">
        <v>810</v>
      </c>
      <c r="G731" s="650" t="s">
        <v>103</v>
      </c>
      <c r="L731" s="654">
        <v>116.12</v>
      </c>
      <c r="M731" s="654" t="s">
        <v>64</v>
      </c>
    </row>
    <row r="732" spans="6:13">
      <c r="F732" s="650">
        <v>812</v>
      </c>
      <c r="G732" s="650" t="s">
        <v>103</v>
      </c>
      <c r="L732" s="654">
        <v>117.06</v>
      </c>
      <c r="M732" s="654" t="s">
        <v>64</v>
      </c>
    </row>
    <row r="733" spans="6:13">
      <c r="F733" s="650">
        <v>815</v>
      </c>
      <c r="G733" s="650" t="s">
        <v>103</v>
      </c>
      <c r="L733" s="654">
        <v>117.08</v>
      </c>
      <c r="M733" s="654" t="s">
        <v>64</v>
      </c>
    </row>
    <row r="734" spans="6:13">
      <c r="F734" s="650">
        <v>817</v>
      </c>
      <c r="G734" s="650" t="s">
        <v>103</v>
      </c>
      <c r="L734" s="654">
        <v>117.09</v>
      </c>
      <c r="M734" s="654" t="s">
        <v>64</v>
      </c>
    </row>
    <row r="735" spans="6:13">
      <c r="F735" s="650">
        <v>818</v>
      </c>
      <c r="G735" s="650" t="s">
        <v>103</v>
      </c>
      <c r="L735" s="654">
        <v>117.1</v>
      </c>
      <c r="M735" s="654" t="s">
        <v>64</v>
      </c>
    </row>
    <row r="736" spans="6:13">
      <c r="F736" s="650">
        <v>819</v>
      </c>
      <c r="G736" s="650" t="s">
        <v>103</v>
      </c>
      <c r="L736" s="654">
        <v>117.12</v>
      </c>
      <c r="M736" s="654" t="s">
        <v>64</v>
      </c>
    </row>
    <row r="737" spans="6:13">
      <c r="F737" s="650">
        <v>820</v>
      </c>
      <c r="G737" s="650" t="s">
        <v>103</v>
      </c>
      <c r="L737" s="654">
        <v>121.08</v>
      </c>
      <c r="M737" s="654" t="s">
        <v>64</v>
      </c>
    </row>
    <row r="738" spans="6:13">
      <c r="F738" s="650">
        <v>821</v>
      </c>
      <c r="G738" s="650" t="s">
        <v>103</v>
      </c>
      <c r="L738" s="654">
        <v>122.06</v>
      </c>
      <c r="M738" s="654" t="s">
        <v>64</v>
      </c>
    </row>
    <row r="739" spans="6:13">
      <c r="F739" s="650">
        <v>822.01</v>
      </c>
      <c r="G739" s="650" t="s">
        <v>103</v>
      </c>
      <c r="L739" s="654">
        <v>122.07</v>
      </c>
      <c r="M739" s="654" t="s">
        <v>64</v>
      </c>
    </row>
    <row r="740" spans="6:13">
      <c r="F740" s="650">
        <v>823.01</v>
      </c>
      <c r="G740" s="650" t="s">
        <v>103</v>
      </c>
      <c r="L740" s="654">
        <v>122.08</v>
      </c>
      <c r="M740" s="654" t="s">
        <v>64</v>
      </c>
    </row>
    <row r="741" spans="6:13">
      <c r="F741" s="650">
        <v>824.01</v>
      </c>
      <c r="G741" s="650" t="s">
        <v>103</v>
      </c>
      <c r="L741" s="654">
        <v>122.09</v>
      </c>
      <c r="M741" s="654" t="s">
        <v>64</v>
      </c>
    </row>
    <row r="742" spans="6:13">
      <c r="F742" s="650">
        <v>824.15</v>
      </c>
      <c r="G742" s="650" t="s">
        <v>103</v>
      </c>
      <c r="L742" s="654">
        <v>122.12</v>
      </c>
      <c r="M742" s="654" t="s">
        <v>64</v>
      </c>
    </row>
    <row r="743" spans="6:13">
      <c r="F743" s="650">
        <v>905</v>
      </c>
      <c r="G743" s="650" t="s">
        <v>103</v>
      </c>
      <c r="L743" s="654">
        <v>122.13</v>
      </c>
      <c r="M743" s="654" t="s">
        <v>64</v>
      </c>
    </row>
    <row r="744" spans="6:13">
      <c r="F744" s="650">
        <v>906</v>
      </c>
      <c r="G744" s="650" t="s">
        <v>103</v>
      </c>
      <c r="L744" s="654">
        <v>125.03</v>
      </c>
      <c r="M744" s="654" t="s">
        <v>64</v>
      </c>
    </row>
    <row r="745" spans="6:13">
      <c r="F745" s="650">
        <v>910.25</v>
      </c>
      <c r="G745" s="650" t="s">
        <v>103</v>
      </c>
      <c r="L745" s="654">
        <v>130.01</v>
      </c>
      <c r="M745" s="654" t="s">
        <v>64</v>
      </c>
    </row>
    <row r="746" spans="6:13">
      <c r="F746" s="650">
        <v>925</v>
      </c>
      <c r="G746" s="650" t="s">
        <v>103</v>
      </c>
      <c r="L746" s="654">
        <v>130.04</v>
      </c>
      <c r="M746" s="654" t="s">
        <v>64</v>
      </c>
    </row>
    <row r="747" spans="6:13">
      <c r="F747" s="650">
        <v>9503.01</v>
      </c>
      <c r="G747" s="650" t="s">
        <v>105</v>
      </c>
      <c r="L747" s="654">
        <v>132.03</v>
      </c>
      <c r="M747" s="654" t="s">
        <v>64</v>
      </c>
    </row>
    <row r="748" spans="6:13">
      <c r="F748" s="650">
        <v>9504</v>
      </c>
      <c r="G748" s="650" t="s">
        <v>105</v>
      </c>
      <c r="L748" s="654">
        <v>132.05000000000001</v>
      </c>
      <c r="M748" s="654" t="s">
        <v>64</v>
      </c>
    </row>
    <row r="749" spans="6:13">
      <c r="F749" s="10"/>
      <c r="L749" s="654">
        <v>132.06</v>
      </c>
      <c r="M749" s="654" t="s">
        <v>64</v>
      </c>
    </row>
    <row r="750" spans="6:13">
      <c r="F750" s="10"/>
      <c r="L750" s="654">
        <v>132.07</v>
      </c>
      <c r="M750" s="654" t="s">
        <v>64</v>
      </c>
    </row>
    <row r="751" spans="6:13">
      <c r="F751" s="10"/>
      <c r="L751" s="654">
        <v>132.08000000000001</v>
      </c>
      <c r="M751" s="654" t="s">
        <v>64</v>
      </c>
    </row>
    <row r="752" spans="6:13">
      <c r="F752" s="10"/>
      <c r="L752" s="654">
        <v>133.05000000000001</v>
      </c>
      <c r="M752" s="654" t="s">
        <v>64</v>
      </c>
    </row>
    <row r="753" spans="6:13">
      <c r="F753" s="10"/>
      <c r="L753" s="654">
        <v>133.07</v>
      </c>
      <c r="M753" s="654" t="s">
        <v>64</v>
      </c>
    </row>
    <row r="754" spans="6:13">
      <c r="F754" s="10"/>
      <c r="L754" s="654">
        <v>133.1</v>
      </c>
      <c r="M754" s="654" t="s">
        <v>64</v>
      </c>
    </row>
    <row r="755" spans="6:13">
      <c r="F755" s="10"/>
      <c r="L755" s="654">
        <v>133.11000000000001</v>
      </c>
      <c r="M755" s="654" t="s">
        <v>64</v>
      </c>
    </row>
    <row r="756" spans="6:13">
      <c r="F756" s="10"/>
      <c r="L756" s="654">
        <v>133.12</v>
      </c>
      <c r="M756" s="654" t="s">
        <v>64</v>
      </c>
    </row>
    <row r="757" spans="6:13">
      <c r="F757" s="10"/>
      <c r="L757" s="654">
        <v>133.13</v>
      </c>
      <c r="M757" s="654" t="s">
        <v>64</v>
      </c>
    </row>
    <row r="758" spans="6:13">
      <c r="F758" s="10"/>
      <c r="L758" s="654">
        <v>133.13999999999999</v>
      </c>
      <c r="M758" s="654" t="s">
        <v>64</v>
      </c>
    </row>
    <row r="759" spans="6:13">
      <c r="F759" s="10"/>
      <c r="L759" s="654">
        <v>133.15</v>
      </c>
      <c r="M759" s="654" t="s">
        <v>64</v>
      </c>
    </row>
    <row r="760" spans="6:13">
      <c r="F760" s="10"/>
      <c r="L760" s="654">
        <v>133.16999999999999</v>
      </c>
      <c r="M760" s="654" t="s">
        <v>64</v>
      </c>
    </row>
    <row r="761" spans="6:13">
      <c r="F761" s="10"/>
      <c r="L761" s="654">
        <v>133.18</v>
      </c>
      <c r="M761" s="654" t="s">
        <v>64</v>
      </c>
    </row>
    <row r="762" spans="6:13">
      <c r="F762" s="10"/>
      <c r="L762" s="654">
        <v>133.19</v>
      </c>
      <c r="M762" s="654" t="s">
        <v>64</v>
      </c>
    </row>
    <row r="763" spans="6:13">
      <c r="F763" s="10"/>
      <c r="L763" s="654">
        <v>133.19999999999999</v>
      </c>
      <c r="M763" s="654" t="s">
        <v>64</v>
      </c>
    </row>
    <row r="764" spans="6:13">
      <c r="F764" s="10"/>
      <c r="L764" s="654">
        <v>133.21</v>
      </c>
      <c r="M764" s="654" t="s">
        <v>64</v>
      </c>
    </row>
    <row r="765" spans="6:13">
      <c r="F765" s="10"/>
      <c r="L765" s="654">
        <v>133.22</v>
      </c>
      <c r="M765" s="654" t="s">
        <v>64</v>
      </c>
    </row>
    <row r="766" spans="6:13">
      <c r="F766" s="10"/>
      <c r="L766" s="654">
        <v>134.07</v>
      </c>
      <c r="M766" s="654" t="s">
        <v>64</v>
      </c>
    </row>
    <row r="767" spans="6:13">
      <c r="F767" s="10"/>
      <c r="L767" s="654">
        <v>134.09</v>
      </c>
      <c r="M767" s="654" t="s">
        <v>64</v>
      </c>
    </row>
    <row r="768" spans="6:13">
      <c r="F768" s="10"/>
      <c r="L768" s="654">
        <v>134.1</v>
      </c>
      <c r="M768" s="654" t="s">
        <v>64</v>
      </c>
    </row>
    <row r="769" spans="6:13">
      <c r="F769" s="10"/>
      <c r="L769" s="654">
        <v>134.12</v>
      </c>
      <c r="M769" s="654" t="s">
        <v>64</v>
      </c>
    </row>
    <row r="770" spans="6:13">
      <c r="F770" s="10"/>
      <c r="L770" s="654">
        <v>134.13</v>
      </c>
      <c r="M770" s="654" t="s">
        <v>64</v>
      </c>
    </row>
    <row r="771" spans="6:13">
      <c r="L771" s="654">
        <v>134.13999999999999</v>
      </c>
      <c r="M771" s="654" t="s">
        <v>64</v>
      </c>
    </row>
    <row r="772" spans="6:13">
      <c r="L772" s="654">
        <v>134.15</v>
      </c>
      <c r="M772" s="654" t="s">
        <v>64</v>
      </c>
    </row>
    <row r="773" spans="6:13">
      <c r="L773" s="654">
        <v>137.02000000000001</v>
      </c>
      <c r="M773" s="654" t="s">
        <v>64</v>
      </c>
    </row>
    <row r="774" spans="6:13">
      <c r="L774" s="654">
        <v>137.03</v>
      </c>
      <c r="M774" s="654" t="s">
        <v>64</v>
      </c>
    </row>
    <row r="775" spans="6:13">
      <c r="L775" s="654">
        <v>137.04</v>
      </c>
      <c r="M775" s="654" t="s">
        <v>64</v>
      </c>
    </row>
    <row r="776" spans="6:13">
      <c r="L776" s="654">
        <v>138.02000000000001</v>
      </c>
      <c r="M776" s="654" t="s">
        <v>64</v>
      </c>
    </row>
    <row r="777" spans="6:13">
      <c r="L777" s="654">
        <v>138.06</v>
      </c>
      <c r="M777" s="654" t="s">
        <v>64</v>
      </c>
    </row>
    <row r="778" spans="6:13">
      <c r="L778" s="654">
        <v>138.07</v>
      </c>
      <c r="M778" s="654" t="s">
        <v>64</v>
      </c>
    </row>
    <row r="779" spans="6:13">
      <c r="L779" s="654">
        <v>139.03</v>
      </c>
      <c r="M779" s="654" t="s">
        <v>64</v>
      </c>
    </row>
    <row r="780" spans="6:13">
      <c r="L780" s="654">
        <v>139.07</v>
      </c>
      <c r="M780" s="654" t="s">
        <v>64</v>
      </c>
    </row>
    <row r="781" spans="6:13">
      <c r="L781" s="654">
        <v>139.08000000000001</v>
      </c>
      <c r="M781" s="654" t="s">
        <v>64</v>
      </c>
    </row>
    <row r="782" spans="6:13">
      <c r="L782" s="654">
        <v>139.13999999999999</v>
      </c>
      <c r="M782" s="654" t="s">
        <v>64</v>
      </c>
    </row>
    <row r="783" spans="6:13">
      <c r="L783" s="654">
        <v>139.15</v>
      </c>
      <c r="M783" s="654" t="s">
        <v>64</v>
      </c>
    </row>
    <row r="784" spans="6:13">
      <c r="L784" s="654">
        <v>139.16</v>
      </c>
      <c r="M784" s="654" t="s">
        <v>64</v>
      </c>
    </row>
    <row r="785" spans="12:13">
      <c r="L785" s="654">
        <v>139.16999999999999</v>
      </c>
      <c r="M785" s="654" t="s">
        <v>64</v>
      </c>
    </row>
    <row r="786" spans="12:13">
      <c r="L786" s="654">
        <v>139.19</v>
      </c>
      <c r="M786" s="654" t="s">
        <v>64</v>
      </c>
    </row>
    <row r="787" spans="12:13">
      <c r="L787" s="654">
        <v>139.19999999999999</v>
      </c>
      <c r="M787" s="654" t="s">
        <v>64</v>
      </c>
    </row>
    <row r="788" spans="12:13">
      <c r="L788" s="654">
        <v>139.21</v>
      </c>
      <c r="M788" s="654" t="s">
        <v>64</v>
      </c>
    </row>
    <row r="789" spans="12:13">
      <c r="L789" s="654">
        <v>139.22</v>
      </c>
      <c r="M789" s="654" t="s">
        <v>64</v>
      </c>
    </row>
    <row r="790" spans="12:13">
      <c r="L790" s="654">
        <v>139.22999999999999</v>
      </c>
      <c r="M790" s="654" t="s">
        <v>64</v>
      </c>
    </row>
    <row r="791" spans="12:13">
      <c r="L791" s="654">
        <v>140.03</v>
      </c>
      <c r="M791" s="654" t="s">
        <v>64</v>
      </c>
    </row>
    <row r="792" spans="12:13">
      <c r="L792" s="654">
        <v>140.07</v>
      </c>
      <c r="M792" s="654" t="s">
        <v>64</v>
      </c>
    </row>
    <row r="793" spans="12:13">
      <c r="L793" s="654">
        <v>140.08000000000001</v>
      </c>
      <c r="M793" s="654" t="s">
        <v>64</v>
      </c>
    </row>
    <row r="794" spans="12:13">
      <c r="L794" s="654">
        <v>140.09</v>
      </c>
      <c r="M794" s="654" t="s">
        <v>64</v>
      </c>
    </row>
    <row r="795" spans="12:13">
      <c r="L795" s="654">
        <v>140.11000000000001</v>
      </c>
      <c r="M795" s="654" t="s">
        <v>64</v>
      </c>
    </row>
    <row r="796" spans="12:13">
      <c r="L796" s="654">
        <v>140.12</v>
      </c>
      <c r="M796" s="654" t="s">
        <v>64</v>
      </c>
    </row>
    <row r="797" spans="12:13">
      <c r="L797" s="654">
        <v>140.15</v>
      </c>
      <c r="M797" s="654" t="s">
        <v>64</v>
      </c>
    </row>
    <row r="798" spans="12:13">
      <c r="L798" s="654">
        <v>140.16</v>
      </c>
      <c r="M798" s="654" t="s">
        <v>64</v>
      </c>
    </row>
    <row r="799" spans="12:13">
      <c r="L799" s="654">
        <v>141.09</v>
      </c>
      <c r="M799" s="654" t="s">
        <v>64</v>
      </c>
    </row>
    <row r="800" spans="12:13">
      <c r="L800" s="654">
        <v>141.16999999999999</v>
      </c>
      <c r="M800" s="654" t="s">
        <v>64</v>
      </c>
    </row>
    <row r="801" spans="12:13">
      <c r="L801" s="654">
        <v>141.18</v>
      </c>
      <c r="M801" s="654" t="s">
        <v>64</v>
      </c>
    </row>
    <row r="802" spans="12:13">
      <c r="L802" s="654">
        <v>141.19</v>
      </c>
      <c r="M802" s="654" t="s">
        <v>64</v>
      </c>
    </row>
    <row r="803" spans="12:13">
      <c r="L803" s="654">
        <v>141.21</v>
      </c>
      <c r="M803" s="654" t="s">
        <v>64</v>
      </c>
    </row>
    <row r="804" spans="12:13">
      <c r="L804" s="654">
        <v>141.22</v>
      </c>
      <c r="M804" s="654" t="s">
        <v>64</v>
      </c>
    </row>
    <row r="805" spans="12:13">
      <c r="L805" s="654">
        <v>9602</v>
      </c>
      <c r="M805" s="654" t="s">
        <v>65</v>
      </c>
    </row>
    <row r="806" spans="12:13">
      <c r="L806" s="654">
        <v>502</v>
      </c>
      <c r="M806" s="654" t="s">
        <v>66</v>
      </c>
    </row>
    <row r="807" spans="12:13">
      <c r="L807" s="654">
        <v>503.01</v>
      </c>
      <c r="M807" s="654" t="s">
        <v>66</v>
      </c>
    </row>
    <row r="808" spans="12:13">
      <c r="L808" s="654">
        <v>504.02</v>
      </c>
      <c r="M808" s="654" t="s">
        <v>66</v>
      </c>
    </row>
    <row r="809" spans="12:13">
      <c r="L809" s="654">
        <v>505.01</v>
      </c>
      <c r="M809" s="654" t="s">
        <v>66</v>
      </c>
    </row>
    <row r="810" spans="12:13">
      <c r="L810" s="654">
        <v>505.03</v>
      </c>
      <c r="M810" s="654" t="s">
        <v>66</v>
      </c>
    </row>
    <row r="811" spans="12:13">
      <c r="L811" s="654">
        <v>505.04</v>
      </c>
      <c r="M811" s="654" t="s">
        <v>66</v>
      </c>
    </row>
    <row r="812" spans="12:13">
      <c r="L812" s="654">
        <v>505.05</v>
      </c>
      <c r="M812" s="654" t="s">
        <v>66</v>
      </c>
    </row>
    <row r="813" spans="12:13">
      <c r="L813" s="654">
        <v>506.02</v>
      </c>
      <c r="M813" s="654" t="s">
        <v>66</v>
      </c>
    </row>
    <row r="814" spans="12:13">
      <c r="L814" s="654">
        <v>506.04</v>
      </c>
      <c r="M814" s="654" t="s">
        <v>66</v>
      </c>
    </row>
    <row r="815" spans="12:13">
      <c r="L815" s="654">
        <v>506.05</v>
      </c>
      <c r="M815" s="654" t="s">
        <v>66</v>
      </c>
    </row>
    <row r="816" spans="12:13">
      <c r="L816" s="654">
        <v>507.02</v>
      </c>
      <c r="M816" s="654" t="s">
        <v>66</v>
      </c>
    </row>
    <row r="817" spans="12:13">
      <c r="L817" s="654">
        <v>507.03</v>
      </c>
      <c r="M817" s="654" t="s">
        <v>66</v>
      </c>
    </row>
    <row r="818" spans="12:13">
      <c r="L818" s="654">
        <v>507.05</v>
      </c>
      <c r="M818" s="654" t="s">
        <v>66</v>
      </c>
    </row>
    <row r="819" spans="12:13">
      <c r="L819" s="654">
        <v>508.02</v>
      </c>
      <c r="M819" s="654" t="s">
        <v>66</v>
      </c>
    </row>
    <row r="820" spans="12:13">
      <c r="L820" s="654">
        <v>508.04</v>
      </c>
      <c r="M820" s="654" t="s">
        <v>66</v>
      </c>
    </row>
    <row r="821" spans="12:13">
      <c r="L821" s="654">
        <v>508.08</v>
      </c>
      <c r="M821" s="654" t="s">
        <v>66</v>
      </c>
    </row>
    <row r="822" spans="12:13">
      <c r="L822" s="654">
        <v>509.02</v>
      </c>
      <c r="M822" s="654" t="s">
        <v>66</v>
      </c>
    </row>
    <row r="823" spans="12:13">
      <c r="L823" s="654">
        <v>2103</v>
      </c>
      <c r="M823" s="654" t="s">
        <v>67</v>
      </c>
    </row>
    <row r="824" spans="12:13">
      <c r="L824" s="654">
        <v>2104</v>
      </c>
      <c r="M824" s="654" t="s">
        <v>67</v>
      </c>
    </row>
    <row r="825" spans="12:13">
      <c r="L825" s="654">
        <v>2105</v>
      </c>
      <c r="M825" s="654" t="s">
        <v>67</v>
      </c>
    </row>
    <row r="826" spans="12:13">
      <c r="L826" s="654">
        <v>2107</v>
      </c>
      <c r="M826" s="654" t="s">
        <v>67</v>
      </c>
    </row>
    <row r="827" spans="12:13">
      <c r="L827" s="654">
        <v>2108</v>
      </c>
      <c r="M827" s="654" t="s">
        <v>67</v>
      </c>
    </row>
    <row r="828" spans="12:13">
      <c r="L828" s="654">
        <v>2110</v>
      </c>
      <c r="M828" s="654" t="s">
        <v>67</v>
      </c>
    </row>
    <row r="829" spans="12:13">
      <c r="L829" s="654">
        <v>2501.02</v>
      </c>
      <c r="M829" s="654" t="s">
        <v>68</v>
      </c>
    </row>
    <row r="830" spans="12:13">
      <c r="L830" s="654">
        <v>2502</v>
      </c>
      <c r="M830" s="654" t="s">
        <v>68</v>
      </c>
    </row>
    <row r="831" spans="12:13">
      <c r="L831" s="654">
        <v>301.04000000000002</v>
      </c>
      <c r="M831" s="654" t="s">
        <v>70</v>
      </c>
    </row>
    <row r="832" spans="12:13">
      <c r="L832" s="654">
        <v>301.05</v>
      </c>
      <c r="M832" s="654" t="s">
        <v>70</v>
      </c>
    </row>
    <row r="833" spans="12:13">
      <c r="L833" s="654">
        <v>301.08</v>
      </c>
      <c r="M833" s="654" t="s">
        <v>70</v>
      </c>
    </row>
    <row r="834" spans="12:13">
      <c r="L834" s="654">
        <v>302.02999999999997</v>
      </c>
      <c r="M834" s="654" t="s">
        <v>70</v>
      </c>
    </row>
    <row r="835" spans="12:13">
      <c r="L835" s="654">
        <v>302.07</v>
      </c>
      <c r="M835" s="654" t="s">
        <v>70</v>
      </c>
    </row>
    <row r="836" spans="12:13">
      <c r="L836" s="654">
        <v>302.08</v>
      </c>
      <c r="M836" s="654" t="s">
        <v>70</v>
      </c>
    </row>
    <row r="837" spans="12:13">
      <c r="L837" s="654">
        <v>303.02</v>
      </c>
      <c r="M837" s="654" t="s">
        <v>70</v>
      </c>
    </row>
    <row r="838" spans="12:13">
      <c r="L838" s="654">
        <v>303.05</v>
      </c>
      <c r="M838" s="654" t="s">
        <v>70</v>
      </c>
    </row>
    <row r="839" spans="12:13">
      <c r="L839" s="654">
        <v>303.08</v>
      </c>
      <c r="M839" s="654" t="s">
        <v>70</v>
      </c>
    </row>
    <row r="840" spans="12:13">
      <c r="L840" s="654">
        <v>304.06</v>
      </c>
      <c r="M840" s="654" t="s">
        <v>70</v>
      </c>
    </row>
    <row r="841" spans="12:13">
      <c r="L841" s="654">
        <v>304.08</v>
      </c>
      <c r="M841" s="654" t="s">
        <v>70</v>
      </c>
    </row>
    <row r="842" spans="12:13">
      <c r="L842" s="654">
        <v>304.10000000000002</v>
      </c>
      <c r="M842" s="654" t="s">
        <v>70</v>
      </c>
    </row>
    <row r="843" spans="12:13">
      <c r="L843" s="654">
        <v>307.01</v>
      </c>
      <c r="M843" s="654" t="s">
        <v>70</v>
      </c>
    </row>
    <row r="844" spans="12:13">
      <c r="L844" s="654">
        <v>307.02</v>
      </c>
      <c r="M844" s="654" t="s">
        <v>70</v>
      </c>
    </row>
    <row r="845" spans="12:13">
      <c r="L845" s="654">
        <v>308.04000000000002</v>
      </c>
      <c r="M845" s="654" t="s">
        <v>70</v>
      </c>
    </row>
    <row r="846" spans="12:13">
      <c r="L846" s="654">
        <v>309.02</v>
      </c>
      <c r="M846" s="654" t="s">
        <v>70</v>
      </c>
    </row>
    <row r="847" spans="12:13">
      <c r="L847" s="654">
        <v>309.12</v>
      </c>
      <c r="M847" s="654" t="s">
        <v>70</v>
      </c>
    </row>
    <row r="848" spans="12:13">
      <c r="L848" s="654">
        <v>309.13</v>
      </c>
      <c r="M848" s="654" t="s">
        <v>70</v>
      </c>
    </row>
    <row r="849" spans="12:13">
      <c r="L849" s="654">
        <v>309.14</v>
      </c>
      <c r="M849" s="654" t="s">
        <v>70</v>
      </c>
    </row>
    <row r="850" spans="12:13">
      <c r="L850" s="654">
        <v>310</v>
      </c>
      <c r="M850" s="654" t="s">
        <v>70</v>
      </c>
    </row>
    <row r="851" spans="12:13">
      <c r="L851" s="654">
        <v>311.02</v>
      </c>
      <c r="M851" s="654" t="s">
        <v>70</v>
      </c>
    </row>
    <row r="852" spans="12:13">
      <c r="L852" s="654">
        <v>311.02999999999997</v>
      </c>
      <c r="M852" s="654" t="s">
        <v>70</v>
      </c>
    </row>
    <row r="853" spans="12:13">
      <c r="L853" s="654">
        <v>312.02</v>
      </c>
      <c r="M853" s="654" t="s">
        <v>70</v>
      </c>
    </row>
    <row r="854" spans="12:13">
      <c r="L854" s="654">
        <v>313.01</v>
      </c>
      <c r="M854" s="654" t="s">
        <v>70</v>
      </c>
    </row>
    <row r="855" spans="12:13">
      <c r="L855" s="654">
        <v>313.05</v>
      </c>
      <c r="M855" s="654" t="s">
        <v>70</v>
      </c>
    </row>
    <row r="856" spans="12:13">
      <c r="L856" s="654">
        <v>313.06</v>
      </c>
      <c r="M856" s="654" t="s">
        <v>70</v>
      </c>
    </row>
    <row r="857" spans="12:13">
      <c r="L857" s="654">
        <v>313.07</v>
      </c>
      <c r="M857" s="654" t="s">
        <v>70</v>
      </c>
    </row>
    <row r="858" spans="12:13">
      <c r="L858" s="654">
        <v>313.08</v>
      </c>
      <c r="M858" s="654" t="s">
        <v>70</v>
      </c>
    </row>
    <row r="859" spans="12:13">
      <c r="L859" s="654">
        <v>313.08999999999997</v>
      </c>
      <c r="M859" s="654" t="s">
        <v>70</v>
      </c>
    </row>
    <row r="860" spans="12:13">
      <c r="L860" s="654">
        <v>313.10000000000002</v>
      </c>
      <c r="M860" s="654" t="s">
        <v>70</v>
      </c>
    </row>
    <row r="861" spans="12:13">
      <c r="L861" s="654">
        <v>313.11</v>
      </c>
      <c r="M861" s="654" t="s">
        <v>70</v>
      </c>
    </row>
    <row r="862" spans="12:13">
      <c r="L862" s="654">
        <v>8</v>
      </c>
      <c r="M862" s="654" t="s">
        <v>71</v>
      </c>
    </row>
    <row r="863" spans="12:13">
      <c r="L863" s="654">
        <v>9</v>
      </c>
      <c r="M863" s="654" t="s">
        <v>71</v>
      </c>
    </row>
    <row r="864" spans="12:13">
      <c r="L864" s="654">
        <v>10</v>
      </c>
      <c r="M864" s="654" t="s">
        <v>71</v>
      </c>
    </row>
    <row r="865" spans="12:13">
      <c r="L865" s="654">
        <v>12.02</v>
      </c>
      <c r="M865" s="654" t="s">
        <v>71</v>
      </c>
    </row>
    <row r="866" spans="12:13">
      <c r="L866" s="654">
        <v>14.02</v>
      </c>
      <c r="M866" s="654" t="s">
        <v>71</v>
      </c>
    </row>
    <row r="867" spans="12:13">
      <c r="L867" s="654">
        <v>15.01</v>
      </c>
      <c r="M867" s="654" t="s">
        <v>71</v>
      </c>
    </row>
    <row r="868" spans="12:13">
      <c r="L868" s="654">
        <v>16.010000000000002</v>
      </c>
      <c r="M868" s="654" t="s">
        <v>71</v>
      </c>
    </row>
    <row r="869" spans="12:13">
      <c r="L869" s="654">
        <v>16.02</v>
      </c>
      <c r="M869" s="654" t="s">
        <v>71</v>
      </c>
    </row>
    <row r="870" spans="12:13">
      <c r="L870" s="654">
        <v>17.010000000000002</v>
      </c>
      <c r="M870" s="654" t="s">
        <v>71</v>
      </c>
    </row>
    <row r="871" spans="12:13">
      <c r="L871" s="654">
        <v>17.03</v>
      </c>
      <c r="M871" s="654" t="s">
        <v>71</v>
      </c>
    </row>
    <row r="872" spans="12:13">
      <c r="L872" s="654">
        <v>17.05</v>
      </c>
      <c r="M872" s="654" t="s">
        <v>71</v>
      </c>
    </row>
    <row r="873" spans="12:13">
      <c r="L873" s="654">
        <v>17.059999999999999</v>
      </c>
      <c r="M873" s="654" t="s">
        <v>71</v>
      </c>
    </row>
    <row r="874" spans="12:13">
      <c r="L874" s="654">
        <v>18.010000000000002</v>
      </c>
      <c r="M874" s="654" t="s">
        <v>71</v>
      </c>
    </row>
    <row r="875" spans="12:13">
      <c r="L875" s="654">
        <v>18.02</v>
      </c>
      <c r="M875" s="654" t="s">
        <v>71</v>
      </c>
    </row>
    <row r="876" spans="12:13">
      <c r="L876" s="654">
        <v>19.03</v>
      </c>
      <c r="M876" s="654" t="s">
        <v>71</v>
      </c>
    </row>
    <row r="877" spans="12:13">
      <c r="L877" s="654">
        <v>19.059999999999999</v>
      </c>
      <c r="M877" s="654" t="s">
        <v>71</v>
      </c>
    </row>
    <row r="878" spans="12:13">
      <c r="L878" s="654">
        <v>19.07</v>
      </c>
      <c r="M878" s="654" t="s">
        <v>71</v>
      </c>
    </row>
    <row r="879" spans="12:13">
      <c r="L879" s="654">
        <v>19.079999999999998</v>
      </c>
      <c r="M879" s="654" t="s">
        <v>71</v>
      </c>
    </row>
    <row r="880" spans="12:13">
      <c r="L880" s="654">
        <v>19.11</v>
      </c>
      <c r="M880" s="654" t="s">
        <v>71</v>
      </c>
    </row>
    <row r="881" spans="12:13">
      <c r="L881" s="654">
        <v>19.12</v>
      </c>
      <c r="M881" s="654" t="s">
        <v>71</v>
      </c>
    </row>
    <row r="882" spans="12:13">
      <c r="L882" s="654">
        <v>19.149999999999999</v>
      </c>
      <c r="M882" s="654" t="s">
        <v>71</v>
      </c>
    </row>
    <row r="883" spans="12:13">
      <c r="L883" s="654">
        <v>101.02</v>
      </c>
      <c r="M883" s="654" t="s">
        <v>71</v>
      </c>
    </row>
    <row r="884" spans="12:13">
      <c r="L884" s="654">
        <v>101.04</v>
      </c>
      <c r="M884" s="654" t="s">
        <v>71</v>
      </c>
    </row>
    <row r="885" spans="12:13">
      <c r="L885" s="654">
        <v>101.05</v>
      </c>
      <c r="M885" s="654" t="s">
        <v>71</v>
      </c>
    </row>
    <row r="886" spans="12:13">
      <c r="L886" s="654">
        <v>103.04</v>
      </c>
      <c r="M886" s="654" t="s">
        <v>71</v>
      </c>
    </row>
    <row r="887" spans="12:13">
      <c r="L887" s="654">
        <v>103.05</v>
      </c>
      <c r="M887" s="654" t="s">
        <v>71</v>
      </c>
    </row>
    <row r="888" spans="12:13">
      <c r="L888" s="654">
        <v>104.06</v>
      </c>
      <c r="M888" s="654" t="s">
        <v>71</v>
      </c>
    </row>
    <row r="889" spans="12:13">
      <c r="L889" s="654">
        <v>104.07</v>
      </c>
      <c r="M889" s="654" t="s">
        <v>71</v>
      </c>
    </row>
    <row r="890" spans="12:13">
      <c r="L890" s="654">
        <v>104.09</v>
      </c>
      <c r="M890" s="654" t="s">
        <v>71</v>
      </c>
    </row>
    <row r="891" spans="12:13">
      <c r="L891" s="654">
        <v>104.1</v>
      </c>
      <c r="M891" s="654" t="s">
        <v>71</v>
      </c>
    </row>
    <row r="892" spans="12:13">
      <c r="L892" s="654">
        <v>104.11</v>
      </c>
      <c r="M892" s="654" t="s">
        <v>71</v>
      </c>
    </row>
    <row r="893" spans="12:13">
      <c r="L893" s="654">
        <v>104.12</v>
      </c>
      <c r="M893" s="654" t="s">
        <v>71</v>
      </c>
    </row>
    <row r="894" spans="12:13">
      <c r="L894" s="654">
        <v>105.01</v>
      </c>
      <c r="M894" s="654" t="s">
        <v>71</v>
      </c>
    </row>
    <row r="895" spans="12:13">
      <c r="L895" s="654">
        <v>106.01</v>
      </c>
      <c r="M895" s="654" t="s">
        <v>71</v>
      </c>
    </row>
    <row r="896" spans="12:13">
      <c r="L896" s="654">
        <v>107.01</v>
      </c>
      <c r="M896" s="654" t="s">
        <v>71</v>
      </c>
    </row>
    <row r="897" spans="12:13">
      <c r="L897" s="654">
        <v>108.03</v>
      </c>
      <c r="M897" s="654" t="s">
        <v>71</v>
      </c>
    </row>
    <row r="898" spans="12:13">
      <c r="L898" s="654">
        <v>201.01</v>
      </c>
      <c r="M898" s="654" t="s">
        <v>71</v>
      </c>
    </row>
    <row r="899" spans="12:13">
      <c r="L899" s="654">
        <v>202.02</v>
      </c>
      <c r="M899" s="654" t="s">
        <v>71</v>
      </c>
    </row>
    <row r="900" spans="12:13">
      <c r="L900" s="654">
        <v>204</v>
      </c>
      <c r="M900" s="654" t="s">
        <v>71</v>
      </c>
    </row>
    <row r="901" spans="12:13">
      <c r="L901" s="654">
        <v>207</v>
      </c>
      <c r="M901" s="654" t="s">
        <v>71</v>
      </c>
    </row>
    <row r="902" spans="12:13">
      <c r="L902" s="654">
        <v>301</v>
      </c>
      <c r="M902" s="654" t="s">
        <v>71</v>
      </c>
    </row>
    <row r="903" spans="12:13">
      <c r="L903" s="654">
        <v>302.01</v>
      </c>
      <c r="M903" s="654" t="s">
        <v>71</v>
      </c>
    </row>
    <row r="904" spans="12:13">
      <c r="L904" s="654">
        <v>302.02999999999997</v>
      </c>
      <c r="M904" s="654" t="s">
        <v>71</v>
      </c>
    </row>
    <row r="905" spans="12:13">
      <c r="L905" s="654">
        <v>303</v>
      </c>
      <c r="M905" s="654" t="s">
        <v>71</v>
      </c>
    </row>
    <row r="906" spans="12:13">
      <c r="L906" s="654">
        <v>401.08</v>
      </c>
      <c r="M906" s="654" t="s">
        <v>71</v>
      </c>
    </row>
    <row r="907" spans="12:13">
      <c r="L907" s="654">
        <v>401.1</v>
      </c>
      <c r="M907" s="654" t="s">
        <v>71</v>
      </c>
    </row>
    <row r="908" spans="12:13">
      <c r="L908" s="654">
        <v>401.11</v>
      </c>
      <c r="M908" s="654" t="s">
        <v>71</v>
      </c>
    </row>
    <row r="909" spans="12:13">
      <c r="L909" s="654">
        <v>401.12</v>
      </c>
      <c r="M909" s="654" t="s">
        <v>71</v>
      </c>
    </row>
    <row r="910" spans="12:13">
      <c r="L910" s="654">
        <v>401.13</v>
      </c>
      <c r="M910" s="654" t="s">
        <v>71</v>
      </c>
    </row>
    <row r="911" spans="12:13">
      <c r="L911" s="654">
        <v>401.14</v>
      </c>
      <c r="M911" s="654" t="s">
        <v>71</v>
      </c>
    </row>
    <row r="912" spans="12:13">
      <c r="L912" s="654">
        <v>401.15</v>
      </c>
      <c r="M912" s="654" t="s">
        <v>71</v>
      </c>
    </row>
    <row r="913" spans="12:13">
      <c r="L913" s="654">
        <v>401.16</v>
      </c>
      <c r="M913" s="654" t="s">
        <v>71</v>
      </c>
    </row>
    <row r="914" spans="12:13">
      <c r="L914" s="654">
        <v>401.17</v>
      </c>
      <c r="M914" s="654" t="s">
        <v>71</v>
      </c>
    </row>
    <row r="915" spans="12:13">
      <c r="L915" s="654">
        <v>401.18</v>
      </c>
      <c r="M915" s="654" t="s">
        <v>71</v>
      </c>
    </row>
    <row r="916" spans="12:13">
      <c r="L916" s="654">
        <v>401.19</v>
      </c>
      <c r="M916" s="654" t="s">
        <v>71</v>
      </c>
    </row>
    <row r="917" spans="12:13">
      <c r="L917" s="654">
        <v>401.2</v>
      </c>
      <c r="M917" s="654" t="s">
        <v>71</v>
      </c>
    </row>
    <row r="918" spans="12:13">
      <c r="L918" s="654">
        <v>401.23</v>
      </c>
      <c r="M918" s="654" t="s">
        <v>71</v>
      </c>
    </row>
    <row r="919" spans="12:13">
      <c r="L919" s="654">
        <v>401.25</v>
      </c>
      <c r="M919" s="654" t="s">
        <v>71</v>
      </c>
    </row>
    <row r="920" spans="12:13">
      <c r="L920" s="654">
        <v>402.06</v>
      </c>
      <c r="M920" s="654" t="s">
        <v>71</v>
      </c>
    </row>
    <row r="921" spans="12:13">
      <c r="L921" s="654">
        <v>402.07</v>
      </c>
      <c r="M921" s="654" t="s">
        <v>71</v>
      </c>
    </row>
    <row r="922" spans="12:13">
      <c r="L922" s="654">
        <v>403.1</v>
      </c>
      <c r="M922" s="654" t="s">
        <v>71</v>
      </c>
    </row>
    <row r="923" spans="12:13">
      <c r="L923" s="654">
        <v>501.03</v>
      </c>
      <c r="M923" s="654" t="s">
        <v>71</v>
      </c>
    </row>
    <row r="924" spans="12:13">
      <c r="L924" s="654">
        <v>501.05</v>
      </c>
      <c r="M924" s="654" t="s">
        <v>71</v>
      </c>
    </row>
    <row r="925" spans="12:13">
      <c r="L925" s="654">
        <v>501.06</v>
      </c>
      <c r="M925" s="654" t="s">
        <v>71</v>
      </c>
    </row>
    <row r="926" spans="12:13">
      <c r="L926" s="654">
        <v>502.03</v>
      </c>
      <c r="M926" s="654" t="s">
        <v>71</v>
      </c>
    </row>
    <row r="927" spans="12:13">
      <c r="L927" s="654">
        <v>502.04</v>
      </c>
      <c r="M927" s="654" t="s">
        <v>71</v>
      </c>
    </row>
    <row r="928" spans="12:13">
      <c r="L928" s="654">
        <v>502.06</v>
      </c>
      <c r="M928" s="654" t="s">
        <v>71</v>
      </c>
    </row>
    <row r="929" spans="12:13">
      <c r="L929" s="654">
        <v>502.07</v>
      </c>
      <c r="M929" s="654" t="s">
        <v>71</v>
      </c>
    </row>
    <row r="930" spans="12:13">
      <c r="L930" s="654">
        <v>502.08</v>
      </c>
      <c r="M930" s="654" t="s">
        <v>71</v>
      </c>
    </row>
    <row r="931" spans="12:13">
      <c r="L931" s="654">
        <v>502.09</v>
      </c>
      <c r="M931" s="654" t="s">
        <v>71</v>
      </c>
    </row>
    <row r="932" spans="12:13">
      <c r="L932" s="654">
        <v>503.05</v>
      </c>
      <c r="M932" s="654" t="s">
        <v>71</v>
      </c>
    </row>
    <row r="933" spans="12:13">
      <c r="L933" s="654">
        <v>503.06</v>
      </c>
      <c r="M933" s="654" t="s">
        <v>71</v>
      </c>
    </row>
    <row r="934" spans="12:13">
      <c r="L934" s="654">
        <v>503.07</v>
      </c>
      <c r="M934" s="654" t="s">
        <v>71</v>
      </c>
    </row>
    <row r="935" spans="12:13">
      <c r="L935" s="654">
        <v>503.08</v>
      </c>
      <c r="M935" s="654" t="s">
        <v>71</v>
      </c>
    </row>
    <row r="936" spans="12:13">
      <c r="L936" s="654">
        <v>503.1</v>
      </c>
      <c r="M936" s="654" t="s">
        <v>71</v>
      </c>
    </row>
    <row r="937" spans="12:13">
      <c r="L937" s="654">
        <v>503.11</v>
      </c>
      <c r="M937" s="654" t="s">
        <v>71</v>
      </c>
    </row>
    <row r="938" spans="12:13">
      <c r="L938" s="654">
        <v>503.13</v>
      </c>
      <c r="M938" s="654" t="s">
        <v>71</v>
      </c>
    </row>
    <row r="939" spans="12:13">
      <c r="L939" s="654">
        <v>503.14</v>
      </c>
      <c r="M939" s="654" t="s">
        <v>71</v>
      </c>
    </row>
    <row r="940" spans="12:13">
      <c r="L940" s="654">
        <v>504</v>
      </c>
      <c r="M940" s="654" t="s">
        <v>71</v>
      </c>
    </row>
    <row r="941" spans="12:13">
      <c r="L941" s="654">
        <v>505</v>
      </c>
      <c r="M941" s="654" t="s">
        <v>71</v>
      </c>
    </row>
    <row r="942" spans="12:13">
      <c r="L942" s="654">
        <v>506.01</v>
      </c>
      <c r="M942" s="654" t="s">
        <v>71</v>
      </c>
    </row>
    <row r="943" spans="12:13">
      <c r="L943" s="654">
        <v>506.02</v>
      </c>
      <c r="M943" s="654" t="s">
        <v>71</v>
      </c>
    </row>
    <row r="944" spans="12:13">
      <c r="L944" s="654">
        <v>601.02</v>
      </c>
      <c r="M944" s="654" t="s">
        <v>71</v>
      </c>
    </row>
    <row r="945" spans="12:13">
      <c r="L945" s="654">
        <v>602.01</v>
      </c>
      <c r="M945" s="654" t="s">
        <v>71</v>
      </c>
    </row>
    <row r="946" spans="12:13">
      <c r="L946" s="654">
        <v>602.02</v>
      </c>
      <c r="M946" s="654" t="s">
        <v>71</v>
      </c>
    </row>
    <row r="947" spans="12:13">
      <c r="L947" s="654">
        <v>602.03</v>
      </c>
      <c r="M947" s="654" t="s">
        <v>71</v>
      </c>
    </row>
    <row r="948" spans="12:13">
      <c r="L948" s="654">
        <v>603</v>
      </c>
      <c r="M948" s="654" t="s">
        <v>71</v>
      </c>
    </row>
    <row r="949" spans="12:13">
      <c r="L949" s="654">
        <v>701.01</v>
      </c>
      <c r="M949" s="654" t="s">
        <v>71</v>
      </c>
    </row>
    <row r="950" spans="12:13">
      <c r="L950" s="654">
        <v>701.02</v>
      </c>
      <c r="M950" s="654" t="s">
        <v>71</v>
      </c>
    </row>
    <row r="951" spans="12:13">
      <c r="L951" s="654">
        <v>702</v>
      </c>
      <c r="M951" s="654" t="s">
        <v>71</v>
      </c>
    </row>
    <row r="952" spans="12:13">
      <c r="L952" s="654">
        <v>802.02</v>
      </c>
      <c r="M952" s="654" t="s">
        <v>71</v>
      </c>
    </row>
    <row r="953" spans="12:13">
      <c r="L953" s="654">
        <v>802.03</v>
      </c>
      <c r="M953" s="654" t="s">
        <v>71</v>
      </c>
    </row>
    <row r="954" spans="12:13">
      <c r="L954" s="654">
        <v>802.04</v>
      </c>
      <c r="M954" s="654" t="s">
        <v>71</v>
      </c>
    </row>
    <row r="955" spans="12:13">
      <c r="L955" s="654">
        <v>803</v>
      </c>
      <c r="M955" s="654" t="s">
        <v>71</v>
      </c>
    </row>
    <row r="956" spans="12:13">
      <c r="L956" s="654">
        <v>901</v>
      </c>
      <c r="M956" s="654" t="s">
        <v>71</v>
      </c>
    </row>
    <row r="957" spans="12:13">
      <c r="L957" s="654">
        <v>2</v>
      </c>
      <c r="M957" s="654" t="s">
        <v>72</v>
      </c>
    </row>
    <row r="958" spans="12:13">
      <c r="L958" s="654">
        <v>3.01</v>
      </c>
      <c r="M958" s="654" t="s">
        <v>72</v>
      </c>
    </row>
    <row r="959" spans="12:13">
      <c r="L959" s="654">
        <v>3.02</v>
      </c>
      <c r="M959" s="654" t="s">
        <v>72</v>
      </c>
    </row>
    <row r="960" spans="12:13">
      <c r="L960" s="654">
        <v>7</v>
      </c>
      <c r="M960" s="654" t="s">
        <v>72</v>
      </c>
    </row>
    <row r="961" spans="12:13">
      <c r="L961" s="654">
        <v>8</v>
      </c>
      <c r="M961" s="654" t="s">
        <v>72</v>
      </c>
    </row>
    <row r="962" spans="12:13">
      <c r="L962" s="654">
        <v>9.01</v>
      </c>
      <c r="M962" s="654" t="s">
        <v>72</v>
      </c>
    </row>
    <row r="963" spans="12:13">
      <c r="L963" s="654">
        <v>9.0299999999999994</v>
      </c>
      <c r="M963" s="654" t="s">
        <v>72</v>
      </c>
    </row>
    <row r="964" spans="12:13">
      <c r="L964" s="654">
        <v>9.0399999999999991</v>
      </c>
      <c r="M964" s="654" t="s">
        <v>72</v>
      </c>
    </row>
    <row r="965" spans="12:13">
      <c r="L965" s="654">
        <v>9.0500000000000007</v>
      </c>
      <c r="M965" s="654" t="s">
        <v>72</v>
      </c>
    </row>
    <row r="966" spans="12:13">
      <c r="L966" s="654">
        <v>15</v>
      </c>
      <c r="M966" s="654" t="s">
        <v>72</v>
      </c>
    </row>
    <row r="967" spans="12:13">
      <c r="L967" s="654">
        <v>16.02</v>
      </c>
      <c r="M967" s="654" t="s">
        <v>72</v>
      </c>
    </row>
    <row r="968" spans="12:13">
      <c r="L968" s="654">
        <v>17</v>
      </c>
      <c r="M968" s="654" t="s">
        <v>72</v>
      </c>
    </row>
    <row r="969" spans="12:13">
      <c r="L969" s="654">
        <v>21.01</v>
      </c>
      <c r="M969" s="654" t="s">
        <v>72</v>
      </c>
    </row>
    <row r="970" spans="12:13">
      <c r="L970" s="654">
        <v>22.05</v>
      </c>
      <c r="M970" s="654" t="s">
        <v>72</v>
      </c>
    </row>
    <row r="971" spans="12:13">
      <c r="L971" s="654">
        <v>22.06</v>
      </c>
      <c r="M971" s="654" t="s">
        <v>72</v>
      </c>
    </row>
    <row r="972" spans="12:13">
      <c r="L972" s="654">
        <v>22.08</v>
      </c>
      <c r="M972" s="654" t="s">
        <v>72</v>
      </c>
    </row>
    <row r="973" spans="12:13">
      <c r="L973" s="654">
        <v>23.02</v>
      </c>
      <c r="M973" s="654" t="s">
        <v>72</v>
      </c>
    </row>
    <row r="974" spans="12:13">
      <c r="L974" s="654">
        <v>23.03</v>
      </c>
      <c r="M974" s="654" t="s">
        <v>72</v>
      </c>
    </row>
    <row r="975" spans="12:13">
      <c r="L975" s="654">
        <v>24.03</v>
      </c>
      <c r="M975" s="654" t="s">
        <v>72</v>
      </c>
    </row>
    <row r="976" spans="12:13">
      <c r="L976" s="654">
        <v>24.08</v>
      </c>
      <c r="M976" s="654" t="s">
        <v>72</v>
      </c>
    </row>
    <row r="977" spans="12:13">
      <c r="L977" s="654">
        <v>24.1</v>
      </c>
      <c r="M977" s="654" t="s">
        <v>72</v>
      </c>
    </row>
    <row r="978" spans="12:13">
      <c r="L978" s="654">
        <v>24.12</v>
      </c>
      <c r="M978" s="654" t="s">
        <v>72</v>
      </c>
    </row>
    <row r="979" spans="12:13">
      <c r="L979" s="654">
        <v>24.13</v>
      </c>
      <c r="M979" s="654" t="s">
        <v>72</v>
      </c>
    </row>
    <row r="980" spans="12:13">
      <c r="L980" s="654">
        <v>24.14</v>
      </c>
      <c r="M980" s="654" t="s">
        <v>72</v>
      </c>
    </row>
    <row r="981" spans="12:13">
      <c r="L981" s="654">
        <v>24.15</v>
      </c>
      <c r="M981" s="654" t="s">
        <v>72</v>
      </c>
    </row>
    <row r="982" spans="12:13">
      <c r="L982" s="654">
        <v>24.16</v>
      </c>
      <c r="M982" s="654" t="s">
        <v>72</v>
      </c>
    </row>
    <row r="983" spans="12:13">
      <c r="L983" s="654">
        <v>24.17</v>
      </c>
      <c r="M983" s="654" t="s">
        <v>72</v>
      </c>
    </row>
    <row r="984" spans="12:13">
      <c r="L984" s="654">
        <v>25.05</v>
      </c>
      <c r="M984" s="654" t="s">
        <v>72</v>
      </c>
    </row>
    <row r="985" spans="12:13">
      <c r="L985" s="654">
        <v>25.07</v>
      </c>
      <c r="M985" s="654" t="s">
        <v>72</v>
      </c>
    </row>
    <row r="986" spans="12:13">
      <c r="L986" s="654">
        <v>25.08</v>
      </c>
      <c r="M986" s="654" t="s">
        <v>72</v>
      </c>
    </row>
    <row r="987" spans="12:13">
      <c r="L987" s="654">
        <v>25.09</v>
      </c>
      <c r="M987" s="654" t="s">
        <v>72</v>
      </c>
    </row>
    <row r="988" spans="12:13">
      <c r="L988" s="654">
        <v>25.1</v>
      </c>
      <c r="M988" s="654" t="s">
        <v>72</v>
      </c>
    </row>
    <row r="989" spans="12:13">
      <c r="L989" s="654">
        <v>25.11</v>
      </c>
      <c r="M989" s="654" t="s">
        <v>72</v>
      </c>
    </row>
    <row r="990" spans="12:13">
      <c r="L990" s="654">
        <v>25.12</v>
      </c>
      <c r="M990" s="654" t="s">
        <v>72</v>
      </c>
    </row>
    <row r="991" spans="12:13">
      <c r="L991" s="654">
        <v>25.13</v>
      </c>
      <c r="M991" s="654" t="s">
        <v>72</v>
      </c>
    </row>
    <row r="992" spans="12:13">
      <c r="L992" s="654">
        <v>26.05</v>
      </c>
      <c r="M992" s="654" t="s">
        <v>72</v>
      </c>
    </row>
    <row r="993" spans="12:13">
      <c r="L993" s="654">
        <v>26.06</v>
      </c>
      <c r="M993" s="654" t="s">
        <v>72</v>
      </c>
    </row>
    <row r="994" spans="12:13">
      <c r="L994" s="654">
        <v>27.02</v>
      </c>
      <c r="M994" s="654" t="s">
        <v>72</v>
      </c>
    </row>
    <row r="995" spans="12:13">
      <c r="L995" s="654">
        <v>9701.01</v>
      </c>
      <c r="M995" s="654" t="s">
        <v>73</v>
      </c>
    </row>
    <row r="996" spans="12:13">
      <c r="L996" s="654">
        <v>9703.01</v>
      </c>
      <c r="M996" s="654" t="s">
        <v>73</v>
      </c>
    </row>
    <row r="997" spans="12:13">
      <c r="L997" s="654">
        <v>9704</v>
      </c>
      <c r="M997" s="654" t="s">
        <v>73</v>
      </c>
    </row>
    <row r="998" spans="12:13">
      <c r="L998" s="654">
        <v>9705</v>
      </c>
      <c r="M998" s="654" t="s">
        <v>73</v>
      </c>
    </row>
    <row r="999" spans="12:13">
      <c r="L999" s="654">
        <v>9706</v>
      </c>
      <c r="M999" s="654" t="s">
        <v>73</v>
      </c>
    </row>
    <row r="1000" spans="12:13">
      <c r="L1000" s="654">
        <v>9501</v>
      </c>
      <c r="M1000" s="654" t="s">
        <v>74</v>
      </c>
    </row>
    <row r="1001" spans="12:13">
      <c r="L1001" s="654">
        <v>1101</v>
      </c>
      <c r="M1001" s="654" t="s">
        <v>75</v>
      </c>
    </row>
    <row r="1002" spans="12:13">
      <c r="L1002" s="654">
        <v>1103.01</v>
      </c>
      <c r="M1002" s="654" t="s">
        <v>75</v>
      </c>
    </row>
    <row r="1003" spans="12:13">
      <c r="L1003" s="654">
        <v>1104</v>
      </c>
      <c r="M1003" s="654" t="s">
        <v>75</v>
      </c>
    </row>
    <row r="1004" spans="12:13">
      <c r="L1004" s="654">
        <v>1.01</v>
      </c>
      <c r="M1004" s="654" t="s">
        <v>76</v>
      </c>
    </row>
    <row r="1005" spans="12:13">
      <c r="L1005" s="654">
        <v>4.03</v>
      </c>
      <c r="M1005" s="654" t="s">
        <v>76</v>
      </c>
    </row>
    <row r="1006" spans="12:13">
      <c r="L1006" s="654">
        <v>4.05</v>
      </c>
      <c r="M1006" s="654" t="s">
        <v>76</v>
      </c>
    </row>
    <row r="1007" spans="12:13">
      <c r="L1007" s="654">
        <v>4.07</v>
      </c>
      <c r="M1007" s="654" t="s">
        <v>76</v>
      </c>
    </row>
    <row r="1008" spans="12:13">
      <c r="L1008" s="654">
        <v>5.01</v>
      </c>
      <c r="M1008" s="654" t="s">
        <v>76</v>
      </c>
    </row>
    <row r="1009" spans="12:13">
      <c r="L1009" s="654">
        <v>5.03</v>
      </c>
      <c r="M1009" s="654" t="s">
        <v>76</v>
      </c>
    </row>
    <row r="1010" spans="12:13">
      <c r="L1010" s="654">
        <v>8.0399999999999991</v>
      </c>
      <c r="M1010" s="654" t="s">
        <v>76</v>
      </c>
    </row>
    <row r="1011" spans="12:13">
      <c r="L1011" s="654">
        <v>8.0500000000000007</v>
      </c>
      <c r="M1011" s="654" t="s">
        <v>76</v>
      </c>
    </row>
    <row r="1012" spans="12:13">
      <c r="L1012" s="654">
        <v>8.07</v>
      </c>
      <c r="M1012" s="654" t="s">
        <v>76</v>
      </c>
    </row>
    <row r="1013" spans="12:13">
      <c r="L1013" s="654">
        <v>8.08</v>
      </c>
      <c r="M1013" s="654" t="s">
        <v>76</v>
      </c>
    </row>
    <row r="1014" spans="12:13">
      <c r="L1014" s="654">
        <v>8.09</v>
      </c>
      <c r="M1014" s="654" t="s">
        <v>76</v>
      </c>
    </row>
    <row r="1015" spans="12:13">
      <c r="L1015" s="654">
        <v>8.1</v>
      </c>
      <c r="M1015" s="654" t="s">
        <v>76</v>
      </c>
    </row>
    <row r="1016" spans="12:13">
      <c r="L1016" s="654">
        <v>9.01</v>
      </c>
      <c r="M1016" s="654" t="s">
        <v>76</v>
      </c>
    </row>
    <row r="1017" spans="12:13">
      <c r="L1017" s="654">
        <v>9.02</v>
      </c>
      <c r="M1017" s="654" t="s">
        <v>76</v>
      </c>
    </row>
    <row r="1018" spans="12:13">
      <c r="L1018" s="654">
        <v>11.04</v>
      </c>
      <c r="M1018" s="654" t="s">
        <v>76</v>
      </c>
    </row>
    <row r="1019" spans="12:13">
      <c r="L1019" s="654">
        <v>11.05</v>
      </c>
      <c r="M1019" s="654" t="s">
        <v>76</v>
      </c>
    </row>
    <row r="1020" spans="12:13">
      <c r="L1020" s="654">
        <v>11.08</v>
      </c>
      <c r="M1020" s="654" t="s">
        <v>76</v>
      </c>
    </row>
    <row r="1021" spans="12:13">
      <c r="L1021" s="654">
        <v>12.02</v>
      </c>
      <c r="M1021" s="654" t="s">
        <v>76</v>
      </c>
    </row>
    <row r="1022" spans="12:13">
      <c r="L1022" s="654">
        <v>12.03</v>
      </c>
      <c r="M1022" s="654" t="s">
        <v>76</v>
      </c>
    </row>
    <row r="1023" spans="12:13">
      <c r="L1023" s="654">
        <v>12.04</v>
      </c>
      <c r="M1023" s="654" t="s">
        <v>76</v>
      </c>
    </row>
    <row r="1024" spans="12:13">
      <c r="L1024" s="654">
        <v>14.02</v>
      </c>
      <c r="M1024" s="654" t="s">
        <v>76</v>
      </c>
    </row>
    <row r="1025" spans="12:13">
      <c r="L1025" s="654">
        <v>17.010000000000002</v>
      </c>
      <c r="M1025" s="654" t="s">
        <v>76</v>
      </c>
    </row>
    <row r="1026" spans="12:13">
      <c r="L1026" s="654">
        <v>17.03</v>
      </c>
      <c r="M1026" s="654" t="s">
        <v>76</v>
      </c>
    </row>
    <row r="1027" spans="12:13">
      <c r="L1027" s="654">
        <v>17.04</v>
      </c>
      <c r="M1027" s="654" t="s">
        <v>76</v>
      </c>
    </row>
    <row r="1028" spans="12:13">
      <c r="L1028" s="654">
        <v>18</v>
      </c>
      <c r="M1028" s="654" t="s">
        <v>76</v>
      </c>
    </row>
    <row r="1029" spans="12:13">
      <c r="L1029" s="654">
        <v>19.07</v>
      </c>
      <c r="M1029" s="654" t="s">
        <v>76</v>
      </c>
    </row>
    <row r="1030" spans="12:13">
      <c r="L1030" s="654">
        <v>19.09</v>
      </c>
      <c r="M1030" s="654" t="s">
        <v>76</v>
      </c>
    </row>
    <row r="1031" spans="12:13">
      <c r="L1031" s="654">
        <v>19.100000000000001</v>
      </c>
      <c r="M1031" s="654" t="s">
        <v>76</v>
      </c>
    </row>
    <row r="1032" spans="12:13">
      <c r="L1032" s="654">
        <v>19.11</v>
      </c>
      <c r="M1032" s="654" t="s">
        <v>76</v>
      </c>
    </row>
    <row r="1033" spans="12:13">
      <c r="L1033" s="654">
        <v>19.12</v>
      </c>
      <c r="M1033" s="654" t="s">
        <v>76</v>
      </c>
    </row>
    <row r="1034" spans="12:13">
      <c r="L1034" s="654">
        <v>19.13</v>
      </c>
      <c r="M1034" s="654" t="s">
        <v>76</v>
      </c>
    </row>
    <row r="1035" spans="12:13">
      <c r="L1035" s="654">
        <v>19.14</v>
      </c>
      <c r="M1035" s="654" t="s">
        <v>76</v>
      </c>
    </row>
    <row r="1036" spans="12:13">
      <c r="L1036" s="654">
        <v>20.03</v>
      </c>
      <c r="M1036" s="654" t="s">
        <v>76</v>
      </c>
    </row>
    <row r="1037" spans="12:13">
      <c r="L1037" s="654">
        <v>20.05</v>
      </c>
      <c r="M1037" s="654" t="s">
        <v>76</v>
      </c>
    </row>
    <row r="1038" spans="12:13">
      <c r="L1038" s="654">
        <v>20.07</v>
      </c>
      <c r="M1038" s="654" t="s">
        <v>76</v>
      </c>
    </row>
    <row r="1039" spans="12:13">
      <c r="L1039" s="654">
        <v>20.079999999999998</v>
      </c>
      <c r="M1039" s="654" t="s">
        <v>76</v>
      </c>
    </row>
    <row r="1040" spans="12:13">
      <c r="L1040" s="654">
        <v>20.100000000000001</v>
      </c>
      <c r="M1040" s="654" t="s">
        <v>76</v>
      </c>
    </row>
    <row r="1041" spans="12:13">
      <c r="L1041" s="654">
        <v>20.11</v>
      </c>
      <c r="M1041" s="654" t="s">
        <v>76</v>
      </c>
    </row>
    <row r="1042" spans="12:13">
      <c r="L1042" s="654">
        <v>20.12</v>
      </c>
      <c r="M1042" s="654" t="s">
        <v>76</v>
      </c>
    </row>
    <row r="1043" spans="12:13">
      <c r="L1043" s="654">
        <v>20.13</v>
      </c>
      <c r="M1043" s="654" t="s">
        <v>76</v>
      </c>
    </row>
    <row r="1044" spans="12:13">
      <c r="L1044" s="654">
        <v>20.14</v>
      </c>
      <c r="M1044" s="654" t="s">
        <v>76</v>
      </c>
    </row>
    <row r="1045" spans="12:13">
      <c r="L1045" s="654">
        <v>20.149999999999999</v>
      </c>
      <c r="M1045" s="654" t="s">
        <v>76</v>
      </c>
    </row>
    <row r="1046" spans="12:13">
      <c r="L1046" s="654">
        <v>20.16</v>
      </c>
      <c r="M1046" s="654" t="s">
        <v>76</v>
      </c>
    </row>
    <row r="1047" spans="12:13">
      <c r="L1047" s="654">
        <v>20.170000000000002</v>
      </c>
      <c r="M1047" s="654" t="s">
        <v>76</v>
      </c>
    </row>
    <row r="1048" spans="12:13">
      <c r="L1048" s="654">
        <v>1</v>
      </c>
      <c r="M1048" s="654" t="s">
        <v>77</v>
      </c>
    </row>
    <row r="1049" spans="12:13">
      <c r="L1049" s="654">
        <v>3.01</v>
      </c>
      <c r="M1049" s="654" t="s">
        <v>77</v>
      </c>
    </row>
    <row r="1050" spans="12:13">
      <c r="L1050" s="654">
        <v>7.02</v>
      </c>
      <c r="M1050" s="654" t="s">
        <v>77</v>
      </c>
    </row>
    <row r="1051" spans="12:13">
      <c r="L1051" s="654">
        <v>8.01</v>
      </c>
      <c r="M1051" s="654" t="s">
        <v>77</v>
      </c>
    </row>
    <row r="1052" spans="12:13">
      <c r="L1052" s="654">
        <v>8.02</v>
      </c>
      <c r="M1052" s="654" t="s">
        <v>77</v>
      </c>
    </row>
    <row r="1053" spans="12:13">
      <c r="L1053" s="654">
        <v>9.02</v>
      </c>
      <c r="M1053" s="654" t="s">
        <v>77</v>
      </c>
    </row>
    <row r="1054" spans="12:13">
      <c r="L1054" s="654">
        <v>10.039999999999999</v>
      </c>
      <c r="M1054" s="654" t="s">
        <v>77</v>
      </c>
    </row>
    <row r="1055" spans="12:13">
      <c r="L1055" s="654">
        <v>10.050000000000001</v>
      </c>
      <c r="M1055" s="654" t="s">
        <v>77</v>
      </c>
    </row>
    <row r="1056" spans="12:13">
      <c r="L1056" s="654">
        <v>10.06</v>
      </c>
      <c r="M1056" s="654" t="s">
        <v>77</v>
      </c>
    </row>
    <row r="1057" spans="12:13">
      <c r="L1057" s="654">
        <v>10.07</v>
      </c>
      <c r="M1057" s="654" t="s">
        <v>77</v>
      </c>
    </row>
    <row r="1058" spans="12:13">
      <c r="L1058" s="654">
        <v>10.08</v>
      </c>
      <c r="M1058" s="654" t="s">
        <v>77</v>
      </c>
    </row>
    <row r="1059" spans="12:13">
      <c r="L1059" s="654">
        <v>11.03</v>
      </c>
      <c r="M1059" s="654" t="s">
        <v>77</v>
      </c>
    </row>
    <row r="1060" spans="12:13">
      <c r="L1060" s="654">
        <v>12.06</v>
      </c>
      <c r="M1060" s="654" t="s">
        <v>77</v>
      </c>
    </row>
    <row r="1061" spans="12:13">
      <c r="L1061" s="654">
        <v>12.08</v>
      </c>
      <c r="M1061" s="654" t="s">
        <v>77</v>
      </c>
    </row>
    <row r="1062" spans="12:13">
      <c r="L1062" s="654">
        <v>13.02</v>
      </c>
      <c r="M1062" s="654" t="s">
        <v>77</v>
      </c>
    </row>
    <row r="1063" spans="12:13">
      <c r="L1063" s="654">
        <v>21</v>
      </c>
      <c r="M1063" s="654" t="s">
        <v>77</v>
      </c>
    </row>
    <row r="1064" spans="12:13">
      <c r="L1064" s="654">
        <v>22.01</v>
      </c>
      <c r="M1064" s="654" t="s">
        <v>77</v>
      </c>
    </row>
    <row r="1065" spans="12:13">
      <c r="L1065" s="654">
        <v>22.02</v>
      </c>
      <c r="M1065" s="654" t="s">
        <v>77</v>
      </c>
    </row>
    <row r="1066" spans="12:13">
      <c r="L1066" s="654">
        <v>22.03</v>
      </c>
      <c r="M1066" s="654" t="s">
        <v>77</v>
      </c>
    </row>
    <row r="1067" spans="12:13">
      <c r="L1067" s="654">
        <v>23.01</v>
      </c>
      <c r="M1067" s="654" t="s">
        <v>77</v>
      </c>
    </row>
    <row r="1068" spans="12:13">
      <c r="L1068" s="654">
        <v>23.02</v>
      </c>
      <c r="M1068" s="654" t="s">
        <v>77</v>
      </c>
    </row>
    <row r="1069" spans="12:13">
      <c r="L1069" s="654">
        <v>24.01</v>
      </c>
      <c r="M1069" s="654" t="s">
        <v>77</v>
      </c>
    </row>
    <row r="1070" spans="12:13">
      <c r="L1070" s="654">
        <v>24.02</v>
      </c>
      <c r="M1070" s="654" t="s">
        <v>77</v>
      </c>
    </row>
    <row r="1071" spans="12:13">
      <c r="L1071" s="654">
        <v>25.02</v>
      </c>
      <c r="M1071" s="654" t="s">
        <v>77</v>
      </c>
    </row>
    <row r="1072" spans="12:13">
      <c r="L1072" s="654">
        <v>25.03</v>
      </c>
      <c r="M1072" s="654" t="s">
        <v>77</v>
      </c>
    </row>
    <row r="1073" spans="12:13">
      <c r="L1073" s="654">
        <v>26.04</v>
      </c>
      <c r="M1073" s="654" t="s">
        <v>77</v>
      </c>
    </row>
    <row r="1074" spans="12:13">
      <c r="L1074" s="654">
        <v>26.05</v>
      </c>
      <c r="M1074" s="654" t="s">
        <v>77</v>
      </c>
    </row>
    <row r="1075" spans="12:13">
      <c r="L1075" s="654">
        <v>26.06</v>
      </c>
      <c r="M1075" s="654" t="s">
        <v>77</v>
      </c>
    </row>
    <row r="1076" spans="12:13">
      <c r="L1076" s="654">
        <v>27.02</v>
      </c>
      <c r="M1076" s="654" t="s">
        <v>77</v>
      </c>
    </row>
    <row r="1077" spans="12:13">
      <c r="L1077" s="654">
        <v>1</v>
      </c>
      <c r="M1077" s="654" t="s">
        <v>78</v>
      </c>
    </row>
    <row r="1078" spans="12:13">
      <c r="L1078" s="654">
        <v>2</v>
      </c>
      <c r="M1078" s="654" t="s">
        <v>78</v>
      </c>
    </row>
    <row r="1079" spans="12:13">
      <c r="L1079" s="654">
        <v>4</v>
      </c>
      <c r="M1079" s="654" t="s">
        <v>78</v>
      </c>
    </row>
    <row r="1080" spans="12:13">
      <c r="L1080" s="654">
        <v>5.0199999999999996</v>
      </c>
      <c r="M1080" s="654" t="s">
        <v>78</v>
      </c>
    </row>
    <row r="1081" spans="12:13">
      <c r="L1081" s="654">
        <v>6.03</v>
      </c>
      <c r="M1081" s="654" t="s">
        <v>78</v>
      </c>
    </row>
    <row r="1082" spans="12:13">
      <c r="L1082" s="654">
        <v>6.04</v>
      </c>
      <c r="M1082" s="654" t="s">
        <v>78</v>
      </c>
    </row>
    <row r="1083" spans="12:13">
      <c r="L1083" s="654">
        <v>6.06</v>
      </c>
      <c r="M1083" s="654" t="s">
        <v>78</v>
      </c>
    </row>
    <row r="1084" spans="12:13">
      <c r="L1084" s="654">
        <v>6.07</v>
      </c>
      <c r="M1084" s="654" t="s">
        <v>78</v>
      </c>
    </row>
    <row r="1085" spans="12:13">
      <c r="L1085" s="654">
        <v>6.1</v>
      </c>
      <c r="M1085" s="654" t="s">
        <v>78</v>
      </c>
    </row>
    <row r="1086" spans="12:13">
      <c r="L1086" s="654">
        <v>9.01</v>
      </c>
      <c r="M1086" s="654" t="s">
        <v>78</v>
      </c>
    </row>
    <row r="1087" spans="12:13">
      <c r="L1087" s="654">
        <v>11.02</v>
      </c>
      <c r="M1087" s="654" t="s">
        <v>78</v>
      </c>
    </row>
    <row r="1088" spans="12:13">
      <c r="L1088" s="654">
        <v>11.03</v>
      </c>
      <c r="M1088" s="654" t="s">
        <v>78</v>
      </c>
    </row>
    <row r="1089" spans="12:13">
      <c r="L1089" s="654">
        <v>11.04</v>
      </c>
      <c r="M1089" s="654" t="s">
        <v>78</v>
      </c>
    </row>
    <row r="1090" spans="12:13">
      <c r="L1090" s="654">
        <v>13.02</v>
      </c>
      <c r="M1090" s="654" t="s">
        <v>78</v>
      </c>
    </row>
    <row r="1091" spans="12:13">
      <c r="L1091" s="654">
        <v>14.04</v>
      </c>
      <c r="M1091" s="654" t="s">
        <v>78</v>
      </c>
    </row>
    <row r="1092" spans="12:13">
      <c r="L1092" s="654">
        <v>14.06</v>
      </c>
      <c r="M1092" s="654" t="s">
        <v>78</v>
      </c>
    </row>
    <row r="1093" spans="12:13">
      <c r="L1093" s="654">
        <v>14.09</v>
      </c>
      <c r="M1093" s="654" t="s">
        <v>78</v>
      </c>
    </row>
    <row r="1094" spans="12:13">
      <c r="L1094" s="654">
        <v>15</v>
      </c>
      <c r="M1094" s="654" t="s">
        <v>78</v>
      </c>
    </row>
    <row r="1095" spans="12:13">
      <c r="L1095" s="654">
        <v>16.010000000000002</v>
      </c>
      <c r="M1095" s="654" t="s">
        <v>78</v>
      </c>
    </row>
    <row r="1096" spans="12:13">
      <c r="L1096" s="654">
        <v>16.02</v>
      </c>
      <c r="M1096" s="654" t="s">
        <v>78</v>
      </c>
    </row>
    <row r="1097" spans="12:13">
      <c r="L1097" s="654">
        <v>17</v>
      </c>
      <c r="M1097" s="654" t="s">
        <v>78</v>
      </c>
    </row>
    <row r="1098" spans="12:13">
      <c r="L1098" s="654">
        <v>1.07</v>
      </c>
      <c r="M1098" s="654" t="s">
        <v>79</v>
      </c>
    </row>
    <row r="1099" spans="12:13">
      <c r="L1099" s="654">
        <v>1.1299999999999999</v>
      </c>
      <c r="M1099" s="654" t="s">
        <v>79</v>
      </c>
    </row>
    <row r="1100" spans="12:13">
      <c r="L1100" s="654">
        <v>1.1499999999999999</v>
      </c>
      <c r="M1100" s="654" t="s">
        <v>79</v>
      </c>
    </row>
    <row r="1101" spans="12:13">
      <c r="L1101" s="654">
        <v>1.18</v>
      </c>
      <c r="M1101" s="654" t="s">
        <v>79</v>
      </c>
    </row>
    <row r="1102" spans="12:13">
      <c r="L1102" s="654">
        <v>1.19</v>
      </c>
      <c r="M1102" s="654" t="s">
        <v>79</v>
      </c>
    </row>
    <row r="1103" spans="12:13">
      <c r="L1103" s="654">
        <v>1.2</v>
      </c>
      <c r="M1103" s="654" t="s">
        <v>79</v>
      </c>
    </row>
    <row r="1104" spans="12:13">
      <c r="L1104" s="654">
        <v>1.21</v>
      </c>
      <c r="M1104" s="654" t="s">
        <v>79</v>
      </c>
    </row>
    <row r="1105" spans="12:13">
      <c r="L1105" s="654">
        <v>1.22</v>
      </c>
      <c r="M1105" s="654" t="s">
        <v>79</v>
      </c>
    </row>
    <row r="1106" spans="12:13">
      <c r="L1106" s="654">
        <v>1.23</v>
      </c>
      <c r="M1106" s="654" t="s">
        <v>79</v>
      </c>
    </row>
    <row r="1107" spans="12:13">
      <c r="L1107" s="654">
        <v>1.25</v>
      </c>
      <c r="M1107" s="654" t="s">
        <v>79</v>
      </c>
    </row>
    <row r="1108" spans="12:13">
      <c r="L1108" s="654">
        <v>1.26</v>
      </c>
      <c r="M1108" s="654" t="s">
        <v>79</v>
      </c>
    </row>
    <row r="1109" spans="12:13">
      <c r="L1109" s="654">
        <v>1.27</v>
      </c>
      <c r="M1109" s="654" t="s">
        <v>79</v>
      </c>
    </row>
    <row r="1110" spans="12:13">
      <c r="L1110" s="654">
        <v>1.28</v>
      </c>
      <c r="M1110" s="654" t="s">
        <v>79</v>
      </c>
    </row>
    <row r="1111" spans="12:13">
      <c r="L1111" s="654">
        <v>1.29</v>
      </c>
      <c r="M1111" s="654" t="s">
        <v>79</v>
      </c>
    </row>
    <row r="1112" spans="12:13">
      <c r="L1112" s="654">
        <v>1.3</v>
      </c>
      <c r="M1112" s="654" t="s">
        <v>79</v>
      </c>
    </row>
    <row r="1113" spans="12:13">
      <c r="L1113" s="654">
        <v>1.31</v>
      </c>
      <c r="M1113" s="654" t="s">
        <v>79</v>
      </c>
    </row>
    <row r="1114" spans="12:13">
      <c r="L1114" s="654">
        <v>1.33</v>
      </c>
      <c r="M1114" s="654" t="s">
        <v>79</v>
      </c>
    </row>
    <row r="1115" spans="12:13">
      <c r="L1115" s="654">
        <v>1.34</v>
      </c>
      <c r="M1115" s="654" t="s">
        <v>79</v>
      </c>
    </row>
    <row r="1116" spans="12:13">
      <c r="L1116" s="654">
        <v>1.4</v>
      </c>
      <c r="M1116" s="654" t="s">
        <v>79</v>
      </c>
    </row>
    <row r="1117" spans="12:13">
      <c r="L1117" s="654">
        <v>2.11</v>
      </c>
      <c r="M1117" s="654" t="s">
        <v>79</v>
      </c>
    </row>
    <row r="1118" spans="12:13">
      <c r="L1118" s="654">
        <v>2.13</v>
      </c>
      <c r="M1118" s="654" t="s">
        <v>79</v>
      </c>
    </row>
    <row r="1119" spans="12:13">
      <c r="L1119" s="654">
        <v>2.14</v>
      </c>
      <c r="M1119" s="654" t="s">
        <v>79</v>
      </c>
    </row>
    <row r="1120" spans="12:13">
      <c r="L1120" s="654">
        <v>3.07</v>
      </c>
      <c r="M1120" s="654" t="s">
        <v>79</v>
      </c>
    </row>
    <row r="1121" spans="12:13">
      <c r="L1121" s="654">
        <v>4.09</v>
      </c>
      <c r="M1121" s="654" t="s">
        <v>79</v>
      </c>
    </row>
    <row r="1122" spans="12:13">
      <c r="L1122" s="654">
        <v>4.0999999999999996</v>
      </c>
      <c r="M1122" s="654" t="s">
        <v>79</v>
      </c>
    </row>
    <row r="1123" spans="12:13">
      <c r="L1123" s="654">
        <v>6.04</v>
      </c>
      <c r="M1123" s="654" t="s">
        <v>79</v>
      </c>
    </row>
    <row r="1124" spans="12:13">
      <c r="L1124" s="654">
        <v>11.04</v>
      </c>
      <c r="M1124" s="654" t="s">
        <v>79</v>
      </c>
    </row>
    <row r="1125" spans="12:13">
      <c r="L1125" s="654">
        <v>12.04</v>
      </c>
      <c r="M1125" s="654" t="s">
        <v>79</v>
      </c>
    </row>
    <row r="1126" spans="12:13">
      <c r="L1126" s="654">
        <v>12.05</v>
      </c>
      <c r="M1126" s="654" t="s">
        <v>79</v>
      </c>
    </row>
    <row r="1127" spans="12:13">
      <c r="L1127" s="654">
        <v>12.06</v>
      </c>
      <c r="M1127" s="654" t="s">
        <v>79</v>
      </c>
    </row>
    <row r="1128" spans="12:13">
      <c r="L1128" s="654">
        <v>13.02</v>
      </c>
      <c r="M1128" s="654" t="s">
        <v>79</v>
      </c>
    </row>
    <row r="1129" spans="12:13">
      <c r="L1129" s="654">
        <v>16.03</v>
      </c>
      <c r="M1129" s="654" t="s">
        <v>79</v>
      </c>
    </row>
    <row r="1130" spans="12:13">
      <c r="L1130" s="654">
        <v>21</v>
      </c>
      <c r="M1130" s="654" t="s">
        <v>79</v>
      </c>
    </row>
    <row r="1131" spans="12:13">
      <c r="L1131" s="654">
        <v>22.01</v>
      </c>
      <c r="M1131" s="654" t="s">
        <v>79</v>
      </c>
    </row>
    <row r="1132" spans="12:13">
      <c r="L1132" s="654">
        <v>27.02</v>
      </c>
      <c r="M1132" s="654" t="s">
        <v>79</v>
      </c>
    </row>
    <row r="1133" spans="12:13">
      <c r="L1133" s="654">
        <v>27.03</v>
      </c>
      <c r="M1133" s="654" t="s">
        <v>79</v>
      </c>
    </row>
    <row r="1134" spans="12:13">
      <c r="L1134" s="654">
        <v>27.05</v>
      </c>
      <c r="M1134" s="654" t="s">
        <v>79</v>
      </c>
    </row>
    <row r="1135" spans="12:13">
      <c r="L1135" s="654">
        <v>27.06</v>
      </c>
      <c r="M1135" s="654" t="s">
        <v>79</v>
      </c>
    </row>
    <row r="1136" spans="12:13">
      <c r="L1136" s="654">
        <v>37.020000000000003</v>
      </c>
      <c r="M1136" s="654" t="s">
        <v>79</v>
      </c>
    </row>
    <row r="1137" spans="12:13">
      <c r="L1137" s="654">
        <v>37.03</v>
      </c>
      <c r="M1137" s="654" t="s">
        <v>79</v>
      </c>
    </row>
    <row r="1138" spans="12:13">
      <c r="L1138" s="654">
        <v>37.04</v>
      </c>
      <c r="M1138" s="654" t="s">
        <v>79</v>
      </c>
    </row>
    <row r="1139" spans="12:13">
      <c r="L1139" s="654">
        <v>37.049999999999997</v>
      </c>
      <c r="M1139" s="654" t="s">
        <v>79</v>
      </c>
    </row>
    <row r="1140" spans="12:13">
      <c r="L1140" s="654">
        <v>37.07</v>
      </c>
      <c r="M1140" s="654" t="s">
        <v>79</v>
      </c>
    </row>
    <row r="1141" spans="12:13">
      <c r="L1141" s="654">
        <v>38.01</v>
      </c>
      <c r="M1141" s="654" t="s">
        <v>79</v>
      </c>
    </row>
    <row r="1142" spans="12:13">
      <c r="L1142" s="654">
        <v>38.03</v>
      </c>
      <c r="M1142" s="654" t="s">
        <v>79</v>
      </c>
    </row>
    <row r="1143" spans="12:13">
      <c r="L1143" s="654">
        <v>38.04</v>
      </c>
      <c r="M1143" s="654" t="s">
        <v>79</v>
      </c>
    </row>
    <row r="1144" spans="12:13">
      <c r="L1144" s="654">
        <v>39.06</v>
      </c>
      <c r="M1144" s="654" t="s">
        <v>79</v>
      </c>
    </row>
    <row r="1145" spans="12:13">
      <c r="L1145" s="654">
        <v>39.119999999999997</v>
      </c>
      <c r="M1145" s="654" t="s">
        <v>79</v>
      </c>
    </row>
    <row r="1146" spans="12:13">
      <c r="L1146" s="654">
        <v>39.130000000000003</v>
      </c>
      <c r="M1146" s="654" t="s">
        <v>79</v>
      </c>
    </row>
    <row r="1147" spans="12:13">
      <c r="L1147" s="654">
        <v>39.14</v>
      </c>
      <c r="M1147" s="654" t="s">
        <v>79</v>
      </c>
    </row>
    <row r="1148" spans="12:13">
      <c r="L1148" s="654">
        <v>39.15</v>
      </c>
      <c r="M1148" s="654" t="s">
        <v>79</v>
      </c>
    </row>
    <row r="1149" spans="12:13">
      <c r="L1149" s="654">
        <v>39.17</v>
      </c>
      <c r="M1149" s="654" t="s">
        <v>79</v>
      </c>
    </row>
    <row r="1150" spans="12:13">
      <c r="L1150" s="654">
        <v>39.18</v>
      </c>
      <c r="M1150" s="654" t="s">
        <v>79</v>
      </c>
    </row>
    <row r="1151" spans="12:13">
      <c r="L1151" s="654">
        <v>39.19</v>
      </c>
      <c r="M1151" s="654" t="s">
        <v>79</v>
      </c>
    </row>
    <row r="1152" spans="12:13">
      <c r="L1152" s="654">
        <v>39.21</v>
      </c>
      <c r="M1152" s="654" t="s">
        <v>79</v>
      </c>
    </row>
    <row r="1153" spans="12:13">
      <c r="L1153" s="654">
        <v>39.22</v>
      </c>
      <c r="M1153" s="654" t="s">
        <v>79</v>
      </c>
    </row>
    <row r="1154" spans="12:13">
      <c r="L1154" s="654">
        <v>40</v>
      </c>
      <c r="M1154" s="654" t="s">
        <v>79</v>
      </c>
    </row>
    <row r="1155" spans="12:13">
      <c r="L1155" s="654">
        <v>41.02</v>
      </c>
      <c r="M1155" s="654" t="s">
        <v>79</v>
      </c>
    </row>
    <row r="1156" spans="12:13">
      <c r="L1156" s="654">
        <v>41.03</v>
      </c>
      <c r="M1156" s="654" t="s">
        <v>79</v>
      </c>
    </row>
    <row r="1157" spans="12:13">
      <c r="L1157" s="654">
        <v>41.05</v>
      </c>
      <c r="M1157" s="654" t="s">
        <v>79</v>
      </c>
    </row>
    <row r="1158" spans="12:13">
      <c r="L1158" s="654">
        <v>41.06</v>
      </c>
      <c r="M1158" s="654" t="s">
        <v>79</v>
      </c>
    </row>
    <row r="1159" spans="12:13">
      <c r="L1159" s="654">
        <v>42.03</v>
      </c>
      <c r="M1159" s="654" t="s">
        <v>79</v>
      </c>
    </row>
    <row r="1160" spans="12:13">
      <c r="L1160" s="654">
        <v>42.04</v>
      </c>
      <c r="M1160" s="654" t="s">
        <v>79</v>
      </c>
    </row>
    <row r="1161" spans="12:13">
      <c r="L1161" s="654">
        <v>42.05</v>
      </c>
      <c r="M1161" s="654" t="s">
        <v>79</v>
      </c>
    </row>
    <row r="1162" spans="12:13">
      <c r="L1162" s="654">
        <v>43.01</v>
      </c>
      <c r="M1162" s="654" t="s">
        <v>79</v>
      </c>
    </row>
    <row r="1163" spans="12:13">
      <c r="L1163" s="654">
        <v>43.03</v>
      </c>
      <c r="M1163" s="654" t="s">
        <v>79</v>
      </c>
    </row>
    <row r="1164" spans="12:13">
      <c r="L1164" s="654">
        <v>43.04</v>
      </c>
      <c r="M1164" s="654" t="s">
        <v>79</v>
      </c>
    </row>
    <row r="1165" spans="12:13">
      <c r="L1165" s="654">
        <v>44.03</v>
      </c>
      <c r="M1165" s="654" t="s">
        <v>79</v>
      </c>
    </row>
    <row r="1166" spans="12:13">
      <c r="L1166" s="654">
        <v>44.04</v>
      </c>
      <c r="M1166" s="654" t="s">
        <v>79</v>
      </c>
    </row>
    <row r="1167" spans="12:13">
      <c r="L1167" s="654">
        <v>44.05</v>
      </c>
      <c r="M1167" s="654" t="s">
        <v>79</v>
      </c>
    </row>
    <row r="1168" spans="12:13">
      <c r="L1168" s="654">
        <v>44.06</v>
      </c>
      <c r="M1168" s="654" t="s">
        <v>79</v>
      </c>
    </row>
    <row r="1169" spans="12:13">
      <c r="L1169" s="654">
        <v>45</v>
      </c>
      <c r="M1169" s="654" t="s">
        <v>79</v>
      </c>
    </row>
    <row r="1170" spans="12:13">
      <c r="L1170" s="654">
        <v>46.02</v>
      </c>
      <c r="M1170" s="654" t="s">
        <v>79</v>
      </c>
    </row>
    <row r="1171" spans="12:13">
      <c r="L1171" s="654">
        <v>46.05</v>
      </c>
      <c r="M1171" s="654" t="s">
        <v>79</v>
      </c>
    </row>
    <row r="1172" spans="12:13">
      <c r="L1172" s="654">
        <v>46.07</v>
      </c>
      <c r="M1172" s="654" t="s">
        <v>79</v>
      </c>
    </row>
    <row r="1173" spans="12:13">
      <c r="L1173" s="654">
        <v>46.08</v>
      </c>
      <c r="M1173" s="654" t="s">
        <v>79</v>
      </c>
    </row>
    <row r="1174" spans="12:13">
      <c r="L1174" s="654">
        <v>47.01</v>
      </c>
      <c r="M1174" s="654" t="s">
        <v>79</v>
      </c>
    </row>
    <row r="1175" spans="12:13">
      <c r="L1175" s="654">
        <v>47.02</v>
      </c>
      <c r="M1175" s="654" t="s">
        <v>79</v>
      </c>
    </row>
    <row r="1176" spans="12:13">
      <c r="L1176" s="654">
        <v>47.03</v>
      </c>
      <c r="M1176" s="654" t="s">
        <v>79</v>
      </c>
    </row>
    <row r="1177" spans="12:13">
      <c r="L1177" s="654">
        <v>56</v>
      </c>
      <c r="M1177" s="654" t="s">
        <v>79</v>
      </c>
    </row>
    <row r="1178" spans="12:13">
      <c r="L1178" s="654">
        <v>59.01</v>
      </c>
      <c r="M1178" s="654" t="s">
        <v>79</v>
      </c>
    </row>
    <row r="1179" spans="12:13">
      <c r="L1179" s="654">
        <v>59.02</v>
      </c>
      <c r="M1179" s="654" t="s">
        <v>79</v>
      </c>
    </row>
    <row r="1180" spans="12:13">
      <c r="L1180" s="654">
        <v>59.04</v>
      </c>
      <c r="M1180" s="654" t="s">
        <v>79</v>
      </c>
    </row>
    <row r="1181" spans="12:13">
      <c r="L1181" s="654">
        <v>60.01</v>
      </c>
      <c r="M1181" s="654" t="s">
        <v>79</v>
      </c>
    </row>
    <row r="1182" spans="12:13">
      <c r="L1182" s="654">
        <v>60.02</v>
      </c>
      <c r="M1182" s="654" t="s">
        <v>79</v>
      </c>
    </row>
    <row r="1183" spans="12:13">
      <c r="L1183" s="654">
        <v>61.01</v>
      </c>
      <c r="M1183" s="654" t="s">
        <v>79</v>
      </c>
    </row>
    <row r="1184" spans="12:13">
      <c r="L1184" s="654">
        <v>61.02</v>
      </c>
      <c r="M1184" s="654" t="s">
        <v>79</v>
      </c>
    </row>
    <row r="1185" spans="12:13">
      <c r="L1185" s="654">
        <v>62.01</v>
      </c>
      <c r="M1185" s="654" t="s">
        <v>79</v>
      </c>
    </row>
    <row r="1186" spans="12:13">
      <c r="L1186" s="654">
        <v>62.03</v>
      </c>
      <c r="M1186" s="654" t="s">
        <v>79</v>
      </c>
    </row>
    <row r="1187" spans="12:13">
      <c r="L1187" s="654">
        <v>62.05</v>
      </c>
      <c r="M1187" s="654" t="s">
        <v>79</v>
      </c>
    </row>
    <row r="1188" spans="12:13">
      <c r="L1188" s="654">
        <v>62.06</v>
      </c>
      <c r="M1188" s="654" t="s">
        <v>79</v>
      </c>
    </row>
    <row r="1189" spans="12:13">
      <c r="L1189" s="654">
        <v>63.02</v>
      </c>
      <c r="M1189" s="654" t="s">
        <v>79</v>
      </c>
    </row>
    <row r="1190" spans="12:13">
      <c r="L1190" s="654">
        <v>65.010000000000005</v>
      </c>
      <c r="M1190" s="654" t="s">
        <v>79</v>
      </c>
    </row>
    <row r="1191" spans="12:13">
      <c r="L1191" s="654">
        <v>65.03</v>
      </c>
      <c r="M1191" s="654" t="s">
        <v>79</v>
      </c>
    </row>
    <row r="1192" spans="12:13">
      <c r="L1192" s="654">
        <v>65.040000000000006</v>
      </c>
      <c r="M1192" s="654" t="s">
        <v>79</v>
      </c>
    </row>
    <row r="1193" spans="12:13">
      <c r="L1193" s="654">
        <v>66.010000000000005</v>
      </c>
      <c r="M1193" s="654" t="s">
        <v>79</v>
      </c>
    </row>
    <row r="1194" spans="12:13">
      <c r="L1194" s="654">
        <v>66.02</v>
      </c>
      <c r="M1194" s="654" t="s">
        <v>79</v>
      </c>
    </row>
    <row r="1195" spans="12:13">
      <c r="L1195" s="654">
        <v>67.02</v>
      </c>
      <c r="M1195" s="654" t="s">
        <v>79</v>
      </c>
    </row>
    <row r="1196" spans="12:13">
      <c r="L1196" s="654">
        <v>67.05</v>
      </c>
      <c r="M1196" s="654" t="s">
        <v>79</v>
      </c>
    </row>
    <row r="1197" spans="12:13">
      <c r="L1197" s="654">
        <v>67.06</v>
      </c>
      <c r="M1197" s="654" t="s">
        <v>79</v>
      </c>
    </row>
    <row r="1198" spans="12:13">
      <c r="L1198" s="654">
        <v>67.069999999999993</v>
      </c>
      <c r="M1198" s="654" t="s">
        <v>79</v>
      </c>
    </row>
    <row r="1199" spans="12:13">
      <c r="L1199" s="654">
        <v>67.09</v>
      </c>
      <c r="M1199" s="654" t="s">
        <v>79</v>
      </c>
    </row>
    <row r="1200" spans="12:13">
      <c r="L1200" s="654">
        <v>67.11</v>
      </c>
      <c r="M1200" s="654" t="s">
        <v>79</v>
      </c>
    </row>
    <row r="1201" spans="12:13">
      <c r="L1201" s="654">
        <v>67.13</v>
      </c>
      <c r="M1201" s="654" t="s">
        <v>79</v>
      </c>
    </row>
    <row r="1202" spans="12:13">
      <c r="L1202" s="654">
        <v>67.14</v>
      </c>
      <c r="M1202" s="654" t="s">
        <v>79</v>
      </c>
    </row>
    <row r="1203" spans="12:13">
      <c r="L1203" s="654">
        <v>68.010000000000005</v>
      </c>
      <c r="M1203" s="654" t="s">
        <v>79</v>
      </c>
    </row>
    <row r="1204" spans="12:13">
      <c r="L1204" s="654">
        <v>68.02</v>
      </c>
      <c r="M1204" s="654" t="s">
        <v>79</v>
      </c>
    </row>
    <row r="1205" spans="12:13">
      <c r="L1205" s="654">
        <v>69</v>
      </c>
      <c r="M1205" s="654" t="s">
        <v>79</v>
      </c>
    </row>
    <row r="1206" spans="12:13">
      <c r="L1206" s="654">
        <v>70.010000000000005</v>
      </c>
      <c r="M1206" s="654" t="s">
        <v>79</v>
      </c>
    </row>
    <row r="1207" spans="12:13">
      <c r="L1207" s="654">
        <v>71.010000000000005</v>
      </c>
      <c r="M1207" s="654" t="s">
        <v>79</v>
      </c>
    </row>
    <row r="1208" spans="12:13">
      <c r="L1208" s="654">
        <v>71.03</v>
      </c>
      <c r="M1208" s="654" t="s">
        <v>79</v>
      </c>
    </row>
    <row r="1209" spans="12:13">
      <c r="L1209" s="654">
        <v>71.040000000000006</v>
      </c>
      <c r="M1209" s="654" t="s">
        <v>79</v>
      </c>
    </row>
    <row r="1210" spans="12:13">
      <c r="L1210" s="654">
        <v>73</v>
      </c>
      <c r="M1210" s="654" t="s">
        <v>79</v>
      </c>
    </row>
    <row r="1211" spans="12:13">
      <c r="L1211" s="654">
        <v>74</v>
      </c>
      <c r="M1211" s="654" t="s">
        <v>79</v>
      </c>
    </row>
    <row r="1212" spans="12:13">
      <c r="L1212" s="654">
        <v>75.010000000000005</v>
      </c>
      <c r="M1212" s="654" t="s">
        <v>79</v>
      </c>
    </row>
    <row r="1213" spans="12:13">
      <c r="L1213" s="654">
        <v>75.03</v>
      </c>
      <c r="M1213" s="654" t="s">
        <v>79</v>
      </c>
    </row>
    <row r="1214" spans="12:13">
      <c r="L1214" s="654">
        <v>76.010000000000005</v>
      </c>
      <c r="M1214" s="654" t="s">
        <v>79</v>
      </c>
    </row>
    <row r="1215" spans="12:13">
      <c r="L1215" s="654">
        <v>76.040000000000006</v>
      </c>
      <c r="M1215" s="654" t="s">
        <v>79</v>
      </c>
    </row>
    <row r="1216" spans="12:13">
      <c r="L1216" s="654">
        <v>76.05</v>
      </c>
      <c r="M1216" s="654" t="s">
        <v>79</v>
      </c>
    </row>
    <row r="1217" spans="12:13">
      <c r="L1217" s="654">
        <v>76.06</v>
      </c>
      <c r="M1217" s="654" t="s">
        <v>79</v>
      </c>
    </row>
    <row r="1218" spans="12:13">
      <c r="L1218" s="654">
        <v>77.010000000000005</v>
      </c>
      <c r="M1218" s="654" t="s">
        <v>79</v>
      </c>
    </row>
    <row r="1219" spans="12:13">
      <c r="L1219" s="654">
        <v>77.02</v>
      </c>
      <c r="M1219" s="654" t="s">
        <v>79</v>
      </c>
    </row>
    <row r="1220" spans="12:13">
      <c r="L1220" s="654">
        <v>77.040000000000006</v>
      </c>
      <c r="M1220" s="654" t="s">
        <v>79</v>
      </c>
    </row>
    <row r="1221" spans="12:13">
      <c r="L1221" s="654">
        <v>77.05</v>
      </c>
      <c r="M1221" s="654" t="s">
        <v>79</v>
      </c>
    </row>
    <row r="1222" spans="12:13">
      <c r="L1222" s="654">
        <v>78.010000000000005</v>
      </c>
      <c r="M1222" s="654" t="s">
        <v>79</v>
      </c>
    </row>
    <row r="1223" spans="12:13">
      <c r="L1223" s="654">
        <v>78.040000000000006</v>
      </c>
      <c r="M1223" s="654" t="s">
        <v>79</v>
      </c>
    </row>
    <row r="1224" spans="12:13">
      <c r="L1224" s="654">
        <v>78.05</v>
      </c>
      <c r="M1224" s="654" t="s">
        <v>79</v>
      </c>
    </row>
    <row r="1225" spans="12:13">
      <c r="L1225" s="654">
        <v>78.06</v>
      </c>
      <c r="M1225" s="654" t="s">
        <v>79</v>
      </c>
    </row>
    <row r="1226" spans="12:13">
      <c r="L1226" s="654">
        <v>78.069999999999993</v>
      </c>
      <c r="M1226" s="654" t="s">
        <v>79</v>
      </c>
    </row>
    <row r="1227" spans="12:13">
      <c r="L1227" s="654">
        <v>79.010000000000005</v>
      </c>
      <c r="M1227" s="654" t="s">
        <v>79</v>
      </c>
    </row>
    <row r="1228" spans="12:13">
      <c r="L1228" s="654">
        <v>79.02</v>
      </c>
      <c r="M1228" s="654" t="s">
        <v>79</v>
      </c>
    </row>
    <row r="1229" spans="12:13">
      <c r="L1229" s="654">
        <v>80</v>
      </c>
      <c r="M1229" s="654" t="s">
        <v>79</v>
      </c>
    </row>
    <row r="1230" spans="12:13">
      <c r="L1230" s="654">
        <v>81.010000000000005</v>
      </c>
      <c r="M1230" s="654" t="s">
        <v>79</v>
      </c>
    </row>
    <row r="1231" spans="12:13">
      <c r="L1231" s="654">
        <v>81.02</v>
      </c>
      <c r="M1231" s="654" t="s">
        <v>79</v>
      </c>
    </row>
    <row r="1232" spans="12:13">
      <c r="L1232" s="654">
        <v>82.02</v>
      </c>
      <c r="M1232" s="654" t="s">
        <v>79</v>
      </c>
    </row>
    <row r="1233" spans="12:13">
      <c r="L1233" s="654">
        <v>82.05</v>
      </c>
      <c r="M1233" s="654" t="s">
        <v>79</v>
      </c>
    </row>
    <row r="1234" spans="12:13">
      <c r="L1234" s="654">
        <v>82.06</v>
      </c>
      <c r="M1234" s="654" t="s">
        <v>79</v>
      </c>
    </row>
    <row r="1235" spans="12:13">
      <c r="L1235" s="654">
        <v>82.07</v>
      </c>
      <c r="M1235" s="654" t="s">
        <v>79</v>
      </c>
    </row>
    <row r="1236" spans="12:13">
      <c r="L1236" s="654">
        <v>82.08</v>
      </c>
      <c r="M1236" s="654" t="s">
        <v>79</v>
      </c>
    </row>
    <row r="1237" spans="12:13">
      <c r="L1237" s="654">
        <v>82.09</v>
      </c>
      <c r="M1237" s="654" t="s">
        <v>79</v>
      </c>
    </row>
    <row r="1238" spans="12:13">
      <c r="L1238" s="654">
        <v>83.05</v>
      </c>
      <c r="M1238" s="654" t="s">
        <v>79</v>
      </c>
    </row>
    <row r="1239" spans="12:13">
      <c r="L1239" s="654">
        <v>83.08</v>
      </c>
      <c r="M1239" s="654" t="s">
        <v>79</v>
      </c>
    </row>
    <row r="1240" spans="12:13">
      <c r="L1240" s="654">
        <v>84.05</v>
      </c>
      <c r="M1240" s="654" t="s">
        <v>79</v>
      </c>
    </row>
    <row r="1241" spans="12:13">
      <c r="L1241" s="654">
        <v>84.07</v>
      </c>
      <c r="M1241" s="654" t="s">
        <v>79</v>
      </c>
    </row>
    <row r="1242" spans="12:13">
      <c r="L1242" s="654">
        <v>84.09</v>
      </c>
      <c r="M1242" s="654" t="s">
        <v>79</v>
      </c>
    </row>
    <row r="1243" spans="12:13">
      <c r="L1243" s="654">
        <v>84.1</v>
      </c>
      <c r="M1243" s="654" t="s">
        <v>79</v>
      </c>
    </row>
    <row r="1244" spans="12:13">
      <c r="L1244" s="654">
        <v>84.12</v>
      </c>
      <c r="M1244" s="654" t="s">
        <v>79</v>
      </c>
    </row>
    <row r="1245" spans="12:13">
      <c r="L1245" s="654">
        <v>84.14</v>
      </c>
      <c r="M1245" s="654" t="s">
        <v>79</v>
      </c>
    </row>
    <row r="1246" spans="12:13">
      <c r="L1246" s="654">
        <v>84.15</v>
      </c>
      <c r="M1246" s="654" t="s">
        <v>79</v>
      </c>
    </row>
    <row r="1247" spans="12:13">
      <c r="L1247" s="654">
        <v>84.16</v>
      </c>
      <c r="M1247" s="654" t="s">
        <v>79</v>
      </c>
    </row>
    <row r="1248" spans="12:13">
      <c r="L1248" s="654">
        <v>84.17</v>
      </c>
      <c r="M1248" s="654" t="s">
        <v>79</v>
      </c>
    </row>
    <row r="1249" spans="12:13">
      <c r="L1249" s="654">
        <v>84.18</v>
      </c>
      <c r="M1249" s="654" t="s">
        <v>79</v>
      </c>
    </row>
    <row r="1250" spans="12:13">
      <c r="L1250" s="654">
        <v>84.19</v>
      </c>
      <c r="M1250" s="654" t="s">
        <v>79</v>
      </c>
    </row>
    <row r="1251" spans="12:13">
      <c r="L1251" s="654">
        <v>85.01</v>
      </c>
      <c r="M1251" s="654" t="s">
        <v>79</v>
      </c>
    </row>
    <row r="1252" spans="12:13">
      <c r="L1252" s="654">
        <v>85.02</v>
      </c>
      <c r="M1252" s="654" t="s">
        <v>79</v>
      </c>
    </row>
    <row r="1253" spans="12:13">
      <c r="L1253" s="654">
        <v>86.01</v>
      </c>
      <c r="M1253" s="654" t="s">
        <v>79</v>
      </c>
    </row>
    <row r="1254" spans="12:13">
      <c r="L1254" s="654">
        <v>86.02</v>
      </c>
      <c r="M1254" s="654" t="s">
        <v>79</v>
      </c>
    </row>
    <row r="1255" spans="12:13">
      <c r="L1255" s="654">
        <v>87.01</v>
      </c>
      <c r="M1255" s="654" t="s">
        <v>79</v>
      </c>
    </row>
    <row r="1256" spans="12:13">
      <c r="L1256" s="654">
        <v>87.02</v>
      </c>
      <c r="M1256" s="654" t="s">
        <v>79</v>
      </c>
    </row>
    <row r="1257" spans="12:13">
      <c r="L1257" s="654">
        <v>88.03</v>
      </c>
      <c r="M1257" s="654" t="s">
        <v>79</v>
      </c>
    </row>
    <row r="1258" spans="12:13">
      <c r="L1258" s="654">
        <v>88.04</v>
      </c>
      <c r="M1258" s="654" t="s">
        <v>79</v>
      </c>
    </row>
    <row r="1259" spans="12:13">
      <c r="L1259" s="654">
        <v>89.01</v>
      </c>
      <c r="M1259" s="654" t="s">
        <v>79</v>
      </c>
    </row>
    <row r="1260" spans="12:13">
      <c r="L1260" s="654">
        <v>89.02</v>
      </c>
      <c r="M1260" s="654" t="s">
        <v>79</v>
      </c>
    </row>
    <row r="1261" spans="12:13">
      <c r="L1261" s="654">
        <v>89.06</v>
      </c>
      <c r="M1261" s="654" t="s">
        <v>79</v>
      </c>
    </row>
    <row r="1262" spans="12:13">
      <c r="L1262" s="654">
        <v>89.07</v>
      </c>
      <c r="M1262" s="654" t="s">
        <v>79</v>
      </c>
    </row>
    <row r="1263" spans="12:13">
      <c r="L1263" s="654">
        <v>90.06</v>
      </c>
      <c r="M1263" s="654" t="s">
        <v>79</v>
      </c>
    </row>
    <row r="1264" spans="12:13">
      <c r="L1264" s="654">
        <v>90.1</v>
      </c>
      <c r="M1264" s="654" t="s">
        <v>79</v>
      </c>
    </row>
    <row r="1265" spans="12:13">
      <c r="L1265" s="654">
        <v>90.14</v>
      </c>
      <c r="M1265" s="654" t="s">
        <v>79</v>
      </c>
    </row>
    <row r="1266" spans="12:13">
      <c r="L1266" s="654">
        <v>90.15</v>
      </c>
      <c r="M1266" s="654" t="s">
        <v>79</v>
      </c>
    </row>
    <row r="1267" spans="12:13">
      <c r="L1267" s="654">
        <v>90.19</v>
      </c>
      <c r="M1267" s="654" t="s">
        <v>79</v>
      </c>
    </row>
    <row r="1268" spans="12:13">
      <c r="L1268" s="654">
        <v>90.23</v>
      </c>
      <c r="M1268" s="654" t="s">
        <v>79</v>
      </c>
    </row>
    <row r="1269" spans="12:13">
      <c r="L1269" s="654">
        <v>90.24</v>
      </c>
      <c r="M1269" s="654" t="s">
        <v>79</v>
      </c>
    </row>
    <row r="1270" spans="12:13">
      <c r="L1270" s="654">
        <v>90.28</v>
      </c>
      <c r="M1270" s="654" t="s">
        <v>79</v>
      </c>
    </row>
    <row r="1271" spans="12:13">
      <c r="L1271" s="654">
        <v>90.29</v>
      </c>
      <c r="M1271" s="654" t="s">
        <v>79</v>
      </c>
    </row>
    <row r="1272" spans="12:13">
      <c r="L1272" s="654">
        <v>90.3</v>
      </c>
      <c r="M1272" s="654" t="s">
        <v>79</v>
      </c>
    </row>
    <row r="1273" spans="12:13">
      <c r="L1273" s="654">
        <v>90.31</v>
      </c>
      <c r="M1273" s="654" t="s">
        <v>79</v>
      </c>
    </row>
    <row r="1274" spans="12:13">
      <c r="L1274" s="654">
        <v>90.34</v>
      </c>
      <c r="M1274" s="654" t="s">
        <v>79</v>
      </c>
    </row>
    <row r="1275" spans="12:13">
      <c r="L1275" s="654">
        <v>90.35</v>
      </c>
      <c r="M1275" s="654" t="s">
        <v>79</v>
      </c>
    </row>
    <row r="1276" spans="12:13">
      <c r="L1276" s="654">
        <v>90.36</v>
      </c>
      <c r="M1276" s="654" t="s">
        <v>79</v>
      </c>
    </row>
    <row r="1277" spans="12:13">
      <c r="L1277" s="654">
        <v>90.38</v>
      </c>
      <c r="M1277" s="654" t="s">
        <v>79</v>
      </c>
    </row>
    <row r="1278" spans="12:13">
      <c r="L1278" s="654">
        <v>90.39</v>
      </c>
      <c r="M1278" s="654" t="s">
        <v>79</v>
      </c>
    </row>
    <row r="1279" spans="12:13">
      <c r="L1279" s="654">
        <v>90.4</v>
      </c>
      <c r="M1279" s="654" t="s">
        <v>79</v>
      </c>
    </row>
    <row r="1280" spans="12:13">
      <c r="L1280" s="654">
        <v>90.43</v>
      </c>
      <c r="M1280" s="654" t="s">
        <v>79</v>
      </c>
    </row>
    <row r="1281" spans="12:13">
      <c r="L1281" s="654">
        <v>90.44</v>
      </c>
      <c r="M1281" s="654" t="s">
        <v>79</v>
      </c>
    </row>
    <row r="1282" spans="12:13">
      <c r="L1282" s="654">
        <v>90.46</v>
      </c>
      <c r="M1282" s="654" t="s">
        <v>79</v>
      </c>
    </row>
    <row r="1283" spans="12:13">
      <c r="L1283" s="654">
        <v>90.47</v>
      </c>
      <c r="M1283" s="654" t="s">
        <v>79</v>
      </c>
    </row>
    <row r="1284" spans="12:13">
      <c r="L1284" s="654">
        <v>92</v>
      </c>
      <c r="M1284" s="654" t="s">
        <v>79</v>
      </c>
    </row>
    <row r="1285" spans="12:13">
      <c r="L1285" s="654">
        <v>93.05</v>
      </c>
      <c r="M1285" s="654" t="s">
        <v>79</v>
      </c>
    </row>
    <row r="1286" spans="12:13">
      <c r="L1286" s="654">
        <v>93.12</v>
      </c>
      <c r="M1286" s="654" t="s">
        <v>79</v>
      </c>
    </row>
    <row r="1287" spans="12:13">
      <c r="L1287" s="654">
        <v>93.13</v>
      </c>
      <c r="M1287" s="654" t="s">
        <v>79</v>
      </c>
    </row>
    <row r="1288" spans="12:13">
      <c r="L1288" s="654">
        <v>97.03</v>
      </c>
      <c r="M1288" s="654" t="s">
        <v>79</v>
      </c>
    </row>
    <row r="1289" spans="12:13">
      <c r="L1289" s="654">
        <v>97.04</v>
      </c>
      <c r="M1289" s="654" t="s">
        <v>79</v>
      </c>
    </row>
    <row r="1290" spans="12:13">
      <c r="L1290" s="654">
        <v>97.05</v>
      </c>
      <c r="M1290" s="654" t="s">
        <v>79</v>
      </c>
    </row>
    <row r="1291" spans="12:13">
      <c r="L1291" s="654">
        <v>97.06</v>
      </c>
      <c r="M1291" s="654" t="s">
        <v>79</v>
      </c>
    </row>
    <row r="1292" spans="12:13">
      <c r="L1292" s="654">
        <v>98.03</v>
      </c>
      <c r="M1292" s="654" t="s">
        <v>79</v>
      </c>
    </row>
    <row r="1293" spans="12:13">
      <c r="L1293" s="654">
        <v>98.04</v>
      </c>
      <c r="M1293" s="654" t="s">
        <v>79</v>
      </c>
    </row>
    <row r="1294" spans="12:13">
      <c r="L1294" s="654">
        <v>98.07</v>
      </c>
      <c r="M1294" s="654" t="s">
        <v>79</v>
      </c>
    </row>
    <row r="1295" spans="12:13">
      <c r="L1295" s="654">
        <v>99.01</v>
      </c>
      <c r="M1295" s="654" t="s">
        <v>79</v>
      </c>
    </row>
    <row r="1296" spans="12:13">
      <c r="L1296" s="654">
        <v>99.03</v>
      </c>
      <c r="M1296" s="654" t="s">
        <v>79</v>
      </c>
    </row>
    <row r="1297" spans="12:13">
      <c r="L1297" s="654">
        <v>100.09</v>
      </c>
      <c r="M1297" s="654" t="s">
        <v>79</v>
      </c>
    </row>
    <row r="1298" spans="12:13">
      <c r="L1298" s="654">
        <v>101.93</v>
      </c>
      <c r="M1298" s="654" t="s">
        <v>79</v>
      </c>
    </row>
    <row r="1299" spans="12:13">
      <c r="L1299" s="654">
        <v>101.98</v>
      </c>
      <c r="M1299" s="654" t="s">
        <v>79</v>
      </c>
    </row>
    <row r="1300" spans="12:13">
      <c r="L1300" s="654">
        <v>102.01</v>
      </c>
      <c r="M1300" s="654" t="s">
        <v>79</v>
      </c>
    </row>
    <row r="1301" spans="12:13">
      <c r="L1301" s="654">
        <v>102.09</v>
      </c>
      <c r="M1301" s="654" t="s">
        <v>79</v>
      </c>
    </row>
    <row r="1302" spans="12:13">
      <c r="L1302" s="654">
        <v>103</v>
      </c>
      <c r="M1302" s="654" t="s">
        <v>79</v>
      </c>
    </row>
    <row r="1303" spans="12:13">
      <c r="L1303" s="654">
        <v>106.04</v>
      </c>
      <c r="M1303" s="654" t="s">
        <v>79</v>
      </c>
    </row>
    <row r="1304" spans="12:13">
      <c r="L1304" s="654">
        <v>106.06</v>
      </c>
      <c r="M1304" s="654" t="s">
        <v>79</v>
      </c>
    </row>
    <row r="1305" spans="12:13">
      <c r="L1305" s="654">
        <v>106.08</v>
      </c>
      <c r="M1305" s="654" t="s">
        <v>79</v>
      </c>
    </row>
    <row r="1306" spans="12:13">
      <c r="L1306" s="654">
        <v>106.1</v>
      </c>
      <c r="M1306" s="654" t="s">
        <v>79</v>
      </c>
    </row>
    <row r="1307" spans="12:13">
      <c r="L1307" s="654">
        <v>106.12</v>
      </c>
      <c r="M1307" s="654" t="s">
        <v>79</v>
      </c>
    </row>
    <row r="1308" spans="12:13">
      <c r="L1308" s="654">
        <v>106.13</v>
      </c>
      <c r="M1308" s="654" t="s">
        <v>79</v>
      </c>
    </row>
    <row r="1309" spans="12:13">
      <c r="L1309" s="654">
        <v>106.17</v>
      </c>
      <c r="M1309" s="654" t="s">
        <v>79</v>
      </c>
    </row>
    <row r="1310" spans="12:13">
      <c r="L1310" s="654">
        <v>110.07</v>
      </c>
      <c r="M1310" s="654" t="s">
        <v>79</v>
      </c>
    </row>
    <row r="1311" spans="12:13">
      <c r="L1311" s="654">
        <v>110.08</v>
      </c>
      <c r="M1311" s="654" t="s">
        <v>79</v>
      </c>
    </row>
    <row r="1312" spans="12:13">
      <c r="L1312" s="654">
        <v>110.09</v>
      </c>
      <c r="M1312" s="654" t="s">
        <v>79</v>
      </c>
    </row>
    <row r="1313" spans="12:13">
      <c r="L1313" s="654">
        <v>111.02</v>
      </c>
      <c r="M1313" s="654" t="s">
        <v>79</v>
      </c>
    </row>
    <row r="1314" spans="12:13">
      <c r="L1314" s="654">
        <v>114.01</v>
      </c>
      <c r="M1314" s="654" t="s">
        <v>79</v>
      </c>
    </row>
    <row r="1315" spans="12:13">
      <c r="L1315" s="654">
        <v>115</v>
      </c>
      <c r="M1315" s="654" t="s">
        <v>79</v>
      </c>
    </row>
    <row r="1316" spans="12:13">
      <c r="L1316" s="654">
        <v>116</v>
      </c>
      <c r="M1316" s="654" t="s">
        <v>79</v>
      </c>
    </row>
    <row r="1317" spans="12:13">
      <c r="L1317" s="654">
        <v>118</v>
      </c>
      <c r="M1317" s="654" t="s">
        <v>79</v>
      </c>
    </row>
    <row r="1318" spans="12:13">
      <c r="L1318" s="654">
        <v>119</v>
      </c>
      <c r="M1318" s="654" t="s">
        <v>79</v>
      </c>
    </row>
    <row r="1319" spans="12:13">
      <c r="L1319" s="654">
        <v>121</v>
      </c>
      <c r="M1319" s="654" t="s">
        <v>79</v>
      </c>
    </row>
    <row r="1320" spans="12:13">
      <c r="L1320" s="654">
        <v>122</v>
      </c>
      <c r="M1320" s="654" t="s">
        <v>79</v>
      </c>
    </row>
    <row r="1321" spans="12:13">
      <c r="L1321" s="654">
        <v>123</v>
      </c>
      <c r="M1321" s="654" t="s">
        <v>79</v>
      </c>
    </row>
    <row r="1322" spans="12:13">
      <c r="L1322" s="654">
        <v>124</v>
      </c>
      <c r="M1322" s="654" t="s">
        <v>79</v>
      </c>
    </row>
    <row r="1323" spans="12:13">
      <c r="L1323" s="654">
        <v>125</v>
      </c>
      <c r="M1323" s="654" t="s">
        <v>79</v>
      </c>
    </row>
    <row r="1324" spans="12:13">
      <c r="L1324" s="654">
        <v>126</v>
      </c>
      <c r="M1324" s="654" t="s">
        <v>79</v>
      </c>
    </row>
    <row r="1325" spans="12:13">
      <c r="L1325" s="654">
        <v>127</v>
      </c>
      <c r="M1325" s="654" t="s">
        <v>79</v>
      </c>
    </row>
    <row r="1326" spans="12:13">
      <c r="L1326" s="654">
        <v>128</v>
      </c>
      <c r="M1326" s="654" t="s">
        <v>79</v>
      </c>
    </row>
    <row r="1327" spans="12:13">
      <c r="L1327" s="654">
        <v>130</v>
      </c>
      <c r="M1327" s="654" t="s">
        <v>79</v>
      </c>
    </row>
    <row r="1328" spans="12:13">
      <c r="L1328" s="654">
        <v>132</v>
      </c>
      <c r="M1328" s="654" t="s">
        <v>79</v>
      </c>
    </row>
    <row r="1329" spans="12:13">
      <c r="L1329" s="654">
        <v>133</v>
      </c>
      <c r="M1329" s="654" t="s">
        <v>79</v>
      </c>
    </row>
    <row r="1330" spans="12:13">
      <c r="L1330" s="654">
        <v>139</v>
      </c>
      <c r="M1330" s="654" t="s">
        <v>79</v>
      </c>
    </row>
    <row r="1331" spans="12:13">
      <c r="L1331" s="654">
        <v>142</v>
      </c>
      <c r="M1331" s="654" t="s">
        <v>79</v>
      </c>
    </row>
    <row r="1332" spans="12:13">
      <c r="L1332" s="654">
        <v>143</v>
      </c>
      <c r="M1332" s="654" t="s">
        <v>79</v>
      </c>
    </row>
    <row r="1333" spans="12:13">
      <c r="L1333" s="654">
        <v>144</v>
      </c>
      <c r="M1333" s="654" t="s">
        <v>79</v>
      </c>
    </row>
    <row r="1334" spans="12:13">
      <c r="L1334" s="654">
        <v>147</v>
      </c>
      <c r="M1334" s="654" t="s">
        <v>79</v>
      </c>
    </row>
    <row r="1335" spans="12:13">
      <c r="L1335" s="654">
        <v>149</v>
      </c>
      <c r="M1335" s="654" t="s">
        <v>79</v>
      </c>
    </row>
    <row r="1336" spans="12:13">
      <c r="L1336" s="654">
        <v>151</v>
      </c>
      <c r="M1336" s="654" t="s">
        <v>79</v>
      </c>
    </row>
    <row r="1337" spans="12:13">
      <c r="L1337" s="654">
        <v>152</v>
      </c>
      <c r="M1337" s="654" t="s">
        <v>79</v>
      </c>
    </row>
    <row r="1338" spans="12:13">
      <c r="L1338" s="654">
        <v>153</v>
      </c>
      <c r="M1338" s="654" t="s">
        <v>79</v>
      </c>
    </row>
    <row r="1339" spans="12:13">
      <c r="L1339" s="654">
        <v>154</v>
      </c>
      <c r="M1339" s="654" t="s">
        <v>79</v>
      </c>
    </row>
    <row r="1340" spans="12:13">
      <c r="L1340" s="654">
        <v>155</v>
      </c>
      <c r="M1340" s="654" t="s">
        <v>79</v>
      </c>
    </row>
    <row r="1341" spans="12:13">
      <c r="L1341" s="654">
        <v>156</v>
      </c>
      <c r="M1341" s="654" t="s">
        <v>79</v>
      </c>
    </row>
    <row r="1342" spans="12:13">
      <c r="L1342" s="654">
        <v>157</v>
      </c>
      <c r="M1342" s="654" t="s">
        <v>79</v>
      </c>
    </row>
    <row r="1343" spans="12:13">
      <c r="L1343" s="654">
        <v>159</v>
      </c>
      <c r="M1343" s="654" t="s">
        <v>79</v>
      </c>
    </row>
    <row r="1344" spans="12:13">
      <c r="L1344" s="654">
        <v>160</v>
      </c>
      <c r="M1344" s="654" t="s">
        <v>79</v>
      </c>
    </row>
    <row r="1345" spans="12:13">
      <c r="L1345" s="654">
        <v>161</v>
      </c>
      <c r="M1345" s="654" t="s">
        <v>79</v>
      </c>
    </row>
    <row r="1346" spans="12:13">
      <c r="L1346" s="654">
        <v>162</v>
      </c>
      <c r="M1346" s="654" t="s">
        <v>79</v>
      </c>
    </row>
    <row r="1347" spans="12:13">
      <c r="L1347" s="654">
        <v>163</v>
      </c>
      <c r="M1347" s="654" t="s">
        <v>79</v>
      </c>
    </row>
    <row r="1348" spans="12:13">
      <c r="L1348" s="654">
        <v>164</v>
      </c>
      <c r="M1348" s="654" t="s">
        <v>79</v>
      </c>
    </row>
    <row r="1349" spans="12:13">
      <c r="L1349" s="654">
        <v>165</v>
      </c>
      <c r="M1349" s="654" t="s">
        <v>79</v>
      </c>
    </row>
    <row r="1350" spans="12:13">
      <c r="L1350" s="654">
        <v>166</v>
      </c>
      <c r="M1350" s="654" t="s">
        <v>79</v>
      </c>
    </row>
    <row r="1351" spans="12:13">
      <c r="L1351" s="654">
        <v>168</v>
      </c>
      <c r="M1351" s="654" t="s">
        <v>79</v>
      </c>
    </row>
    <row r="1352" spans="12:13">
      <c r="L1352" s="654">
        <v>169</v>
      </c>
      <c r="M1352" s="654" t="s">
        <v>79</v>
      </c>
    </row>
    <row r="1353" spans="12:13">
      <c r="L1353" s="654">
        <v>170</v>
      </c>
      <c r="M1353" s="654" t="s">
        <v>79</v>
      </c>
    </row>
    <row r="1354" spans="12:13">
      <c r="L1354" s="654">
        <v>171</v>
      </c>
      <c r="M1354" s="654" t="s">
        <v>79</v>
      </c>
    </row>
    <row r="1355" spans="12:13">
      <c r="L1355" s="654">
        <v>172</v>
      </c>
      <c r="M1355" s="654" t="s">
        <v>79</v>
      </c>
    </row>
    <row r="1356" spans="12:13">
      <c r="L1356" s="654">
        <v>173</v>
      </c>
      <c r="M1356" s="654" t="s">
        <v>79</v>
      </c>
    </row>
    <row r="1357" spans="12:13">
      <c r="L1357" s="654">
        <v>174</v>
      </c>
      <c r="M1357" s="654" t="s">
        <v>79</v>
      </c>
    </row>
    <row r="1358" spans="12:13">
      <c r="L1358" s="654">
        <v>176</v>
      </c>
      <c r="M1358" s="654" t="s">
        <v>79</v>
      </c>
    </row>
    <row r="1359" spans="12:13">
      <c r="L1359" s="654">
        <v>177</v>
      </c>
      <c r="M1359" s="654" t="s">
        <v>79</v>
      </c>
    </row>
    <row r="1360" spans="12:13">
      <c r="L1360" s="654">
        <v>179</v>
      </c>
      <c r="M1360" s="654" t="s">
        <v>79</v>
      </c>
    </row>
    <row r="1361" spans="12:13">
      <c r="L1361" s="654">
        <v>180</v>
      </c>
      <c r="M1361" s="654" t="s">
        <v>79</v>
      </c>
    </row>
    <row r="1362" spans="12:13">
      <c r="L1362" s="654">
        <v>181</v>
      </c>
      <c r="M1362" s="654" t="s">
        <v>79</v>
      </c>
    </row>
    <row r="1363" spans="12:13">
      <c r="L1363" s="654">
        <v>182</v>
      </c>
      <c r="M1363" s="654" t="s">
        <v>79</v>
      </c>
    </row>
    <row r="1364" spans="12:13">
      <c r="L1364" s="654">
        <v>183</v>
      </c>
      <c r="M1364" s="654" t="s">
        <v>79</v>
      </c>
    </row>
    <row r="1365" spans="12:13">
      <c r="L1365" s="654">
        <v>184</v>
      </c>
      <c r="M1365" s="654" t="s">
        <v>79</v>
      </c>
    </row>
    <row r="1366" spans="12:13">
      <c r="L1366" s="654">
        <v>185</v>
      </c>
      <c r="M1366" s="654" t="s">
        <v>79</v>
      </c>
    </row>
    <row r="1367" spans="12:13">
      <c r="L1367" s="654">
        <v>186</v>
      </c>
      <c r="M1367" s="654" t="s">
        <v>79</v>
      </c>
    </row>
    <row r="1368" spans="12:13">
      <c r="L1368" s="654">
        <v>187</v>
      </c>
      <c r="M1368" s="654" t="s">
        <v>79</v>
      </c>
    </row>
    <row r="1369" spans="12:13">
      <c r="L1369" s="654">
        <v>188</v>
      </c>
      <c r="M1369" s="654" t="s">
        <v>79</v>
      </c>
    </row>
    <row r="1370" spans="12:13">
      <c r="L1370" s="654">
        <v>189</v>
      </c>
      <c r="M1370" s="654" t="s">
        <v>79</v>
      </c>
    </row>
    <row r="1371" spans="12:13">
      <c r="L1371" s="654">
        <v>190</v>
      </c>
      <c r="M1371" s="654" t="s">
        <v>79</v>
      </c>
    </row>
    <row r="1372" spans="12:13">
      <c r="L1372" s="654">
        <v>191</v>
      </c>
      <c r="M1372" s="654" t="s">
        <v>79</v>
      </c>
    </row>
    <row r="1373" spans="12:13">
      <c r="L1373" s="654">
        <v>192</v>
      </c>
      <c r="M1373" s="654" t="s">
        <v>79</v>
      </c>
    </row>
    <row r="1374" spans="12:13">
      <c r="L1374" s="654">
        <v>193</v>
      </c>
      <c r="M1374" s="654" t="s">
        <v>79</v>
      </c>
    </row>
    <row r="1375" spans="12:13">
      <c r="L1375" s="654">
        <v>194</v>
      </c>
      <c r="M1375" s="654" t="s">
        <v>79</v>
      </c>
    </row>
    <row r="1376" spans="12:13">
      <c r="L1376" s="654">
        <v>195</v>
      </c>
      <c r="M1376" s="654" t="s">
        <v>79</v>
      </c>
    </row>
    <row r="1377" spans="12:13">
      <c r="L1377" s="654">
        <v>196</v>
      </c>
      <c r="M1377" s="654" t="s">
        <v>79</v>
      </c>
    </row>
    <row r="1378" spans="12:13">
      <c r="L1378" s="654">
        <v>197</v>
      </c>
      <c r="M1378" s="654" t="s">
        <v>79</v>
      </c>
    </row>
    <row r="1379" spans="12:13">
      <c r="L1379" s="654">
        <v>198</v>
      </c>
      <c r="M1379" s="654" t="s">
        <v>79</v>
      </c>
    </row>
    <row r="1380" spans="12:13">
      <c r="L1380" s="654">
        <v>200</v>
      </c>
      <c r="M1380" s="654" t="s">
        <v>79</v>
      </c>
    </row>
    <row r="1381" spans="12:13">
      <c r="L1381" s="654">
        <v>201</v>
      </c>
      <c r="M1381" s="654" t="s">
        <v>79</v>
      </c>
    </row>
    <row r="1382" spans="12:13">
      <c r="L1382" s="654">
        <v>9702</v>
      </c>
      <c r="M1382" s="654" t="s">
        <v>81</v>
      </c>
    </row>
    <row r="1383" spans="12:13">
      <c r="L1383" s="654">
        <v>9703</v>
      </c>
      <c r="M1383" s="654" t="s">
        <v>81</v>
      </c>
    </row>
    <row r="1384" spans="12:13">
      <c r="L1384" s="654">
        <v>9705</v>
      </c>
      <c r="M1384" s="654" t="s">
        <v>81</v>
      </c>
    </row>
    <row r="1385" spans="12:13">
      <c r="L1385" s="654">
        <v>9706</v>
      </c>
      <c r="M1385" s="654" t="s">
        <v>81</v>
      </c>
    </row>
    <row r="1386" spans="12:13">
      <c r="L1386" s="654">
        <v>9708</v>
      </c>
      <c r="M1386" s="654" t="s">
        <v>81</v>
      </c>
    </row>
    <row r="1387" spans="12:13">
      <c r="L1387" s="654">
        <v>9709</v>
      </c>
      <c r="M1387" s="654" t="s">
        <v>81</v>
      </c>
    </row>
    <row r="1388" spans="12:13">
      <c r="L1388" s="654">
        <v>9710.01</v>
      </c>
      <c r="M1388" s="654" t="s">
        <v>81</v>
      </c>
    </row>
    <row r="1389" spans="12:13">
      <c r="L1389" s="654">
        <v>9715.01</v>
      </c>
      <c r="M1389" s="654" t="s">
        <v>81</v>
      </c>
    </row>
    <row r="1390" spans="12:13">
      <c r="L1390" s="654">
        <v>9715.02</v>
      </c>
      <c r="M1390" s="654" t="s">
        <v>81</v>
      </c>
    </row>
    <row r="1391" spans="12:13">
      <c r="L1391" s="654">
        <v>9716</v>
      </c>
      <c r="M1391" s="654" t="s">
        <v>81</v>
      </c>
    </row>
    <row r="1392" spans="12:13">
      <c r="L1392" s="654">
        <v>9720</v>
      </c>
      <c r="M1392" s="654" t="s">
        <v>81</v>
      </c>
    </row>
    <row r="1393" spans="12:13">
      <c r="L1393" s="654">
        <v>9722</v>
      </c>
      <c r="M1393" s="654" t="s">
        <v>81</v>
      </c>
    </row>
    <row r="1394" spans="12:13">
      <c r="L1394" s="654">
        <v>9723</v>
      </c>
      <c r="M1394" s="654" t="s">
        <v>81</v>
      </c>
    </row>
    <row r="1395" spans="12:13">
      <c r="L1395" s="654">
        <v>9724</v>
      </c>
      <c r="M1395" s="654" t="s">
        <v>81</v>
      </c>
    </row>
    <row r="1396" spans="12:13">
      <c r="L1396" s="654">
        <v>9725</v>
      </c>
      <c r="M1396" s="654" t="s">
        <v>81</v>
      </c>
    </row>
    <row r="1397" spans="12:13">
      <c r="L1397" s="654">
        <v>9726</v>
      </c>
      <c r="M1397" s="654" t="s">
        <v>81</v>
      </c>
    </row>
    <row r="1398" spans="12:13">
      <c r="L1398" s="654">
        <v>501.01</v>
      </c>
      <c r="M1398" s="654" t="s">
        <v>83</v>
      </c>
    </row>
    <row r="1399" spans="12:13">
      <c r="L1399" s="654">
        <v>502.01</v>
      </c>
      <c r="M1399" s="654" t="s">
        <v>83</v>
      </c>
    </row>
    <row r="1400" spans="12:13">
      <c r="L1400" s="654">
        <v>502.02</v>
      </c>
      <c r="M1400" s="654" t="s">
        <v>83</v>
      </c>
    </row>
    <row r="1401" spans="12:13">
      <c r="L1401" s="654">
        <v>502.03</v>
      </c>
      <c r="M1401" s="654" t="s">
        <v>83</v>
      </c>
    </row>
    <row r="1402" spans="12:13">
      <c r="L1402" s="654">
        <v>503.03</v>
      </c>
      <c r="M1402" s="654" t="s">
        <v>83</v>
      </c>
    </row>
    <row r="1403" spans="12:13">
      <c r="L1403" s="654">
        <v>505.02</v>
      </c>
      <c r="M1403" s="654" t="s">
        <v>83</v>
      </c>
    </row>
    <row r="1404" spans="12:13">
      <c r="L1404" s="654">
        <v>505.04</v>
      </c>
      <c r="M1404" s="654" t="s">
        <v>83</v>
      </c>
    </row>
    <row r="1405" spans="12:13">
      <c r="L1405" s="654">
        <v>206</v>
      </c>
      <c r="M1405" s="654" t="s">
        <v>84</v>
      </c>
    </row>
    <row r="1406" spans="12:13">
      <c r="L1406" s="654">
        <v>208</v>
      </c>
      <c r="M1406" s="654" t="s">
        <v>84</v>
      </c>
    </row>
    <row r="1407" spans="12:13">
      <c r="L1407" s="654">
        <v>209</v>
      </c>
      <c r="M1407" s="654" t="s">
        <v>84</v>
      </c>
    </row>
    <row r="1408" spans="12:13">
      <c r="L1408" s="654">
        <v>210.01</v>
      </c>
      <c r="M1408" s="654" t="s">
        <v>84</v>
      </c>
    </row>
    <row r="1409" spans="12:13">
      <c r="L1409" s="654">
        <v>210.02</v>
      </c>
      <c r="M1409" s="654" t="s">
        <v>84</v>
      </c>
    </row>
    <row r="1410" spans="12:13">
      <c r="L1410" s="654">
        <v>211.02</v>
      </c>
      <c r="M1410" s="654" t="s">
        <v>84</v>
      </c>
    </row>
    <row r="1411" spans="12:13">
      <c r="L1411" s="654">
        <v>215.01</v>
      </c>
      <c r="M1411" s="654" t="s">
        <v>84</v>
      </c>
    </row>
    <row r="1412" spans="12:13">
      <c r="L1412" s="654">
        <v>216</v>
      </c>
      <c r="M1412" s="654" t="s">
        <v>84</v>
      </c>
    </row>
    <row r="1413" spans="12:13">
      <c r="L1413" s="654">
        <v>217</v>
      </c>
      <c r="M1413" s="654" t="s">
        <v>84</v>
      </c>
    </row>
    <row r="1414" spans="12:13">
      <c r="L1414" s="654">
        <v>224</v>
      </c>
      <c r="M1414" s="654" t="s">
        <v>84</v>
      </c>
    </row>
    <row r="1415" spans="12:13">
      <c r="L1415" s="654">
        <v>232</v>
      </c>
      <c r="M1415" s="654" t="s">
        <v>84</v>
      </c>
    </row>
    <row r="1416" spans="12:13">
      <c r="L1416" s="654">
        <v>233.03</v>
      </c>
      <c r="M1416" s="654" t="s">
        <v>84</v>
      </c>
    </row>
    <row r="1417" spans="12:13">
      <c r="L1417" s="654">
        <v>233.04</v>
      </c>
      <c r="M1417" s="654" t="s">
        <v>84</v>
      </c>
    </row>
    <row r="1418" spans="12:13">
      <c r="L1418" s="654">
        <v>233.05</v>
      </c>
      <c r="M1418" s="654" t="s">
        <v>84</v>
      </c>
    </row>
    <row r="1419" spans="12:13">
      <c r="L1419" s="654">
        <v>233.06</v>
      </c>
      <c r="M1419" s="654" t="s">
        <v>84</v>
      </c>
    </row>
    <row r="1420" spans="12:13">
      <c r="L1420" s="654">
        <v>233.08</v>
      </c>
      <c r="M1420" s="654" t="s">
        <v>84</v>
      </c>
    </row>
    <row r="1421" spans="12:13">
      <c r="L1421" s="654">
        <v>9101.01</v>
      </c>
      <c r="M1421" s="654" t="s">
        <v>85</v>
      </c>
    </row>
    <row r="1422" spans="12:13">
      <c r="L1422" s="654">
        <v>9101.02</v>
      </c>
      <c r="M1422" s="654" t="s">
        <v>85</v>
      </c>
    </row>
    <row r="1423" spans="12:13">
      <c r="L1423" s="654">
        <v>9104.01</v>
      </c>
      <c r="M1423" s="654" t="s">
        <v>85</v>
      </c>
    </row>
    <row r="1424" spans="12:13">
      <c r="L1424" s="654">
        <v>9105</v>
      </c>
      <c r="M1424" s="654" t="s">
        <v>85</v>
      </c>
    </row>
    <row r="1425" spans="12:13">
      <c r="L1425" s="654">
        <v>9106.01</v>
      </c>
      <c r="M1425" s="654" t="s">
        <v>85</v>
      </c>
    </row>
    <row r="1426" spans="12:13">
      <c r="L1426" s="654">
        <v>9106.02</v>
      </c>
      <c r="M1426" s="654" t="s">
        <v>85</v>
      </c>
    </row>
    <row r="1427" spans="12:13">
      <c r="L1427" s="654">
        <v>102</v>
      </c>
      <c r="M1427" s="654" t="s">
        <v>86</v>
      </c>
    </row>
    <row r="1428" spans="12:13">
      <c r="L1428" s="654">
        <v>103</v>
      </c>
      <c r="M1428" s="654" t="s">
        <v>86</v>
      </c>
    </row>
    <row r="1429" spans="12:13">
      <c r="L1429" s="654">
        <v>108.02</v>
      </c>
      <c r="M1429" s="654" t="s">
        <v>86</v>
      </c>
    </row>
    <row r="1430" spans="12:13">
      <c r="L1430" s="654">
        <v>110</v>
      </c>
      <c r="M1430" s="654" t="s">
        <v>86</v>
      </c>
    </row>
    <row r="1431" spans="12:13">
      <c r="L1431" s="654">
        <v>111</v>
      </c>
      <c r="M1431" s="654" t="s">
        <v>86</v>
      </c>
    </row>
    <row r="1432" spans="12:13">
      <c r="L1432" s="654">
        <v>112</v>
      </c>
      <c r="M1432" s="654" t="s">
        <v>86</v>
      </c>
    </row>
    <row r="1433" spans="12:13">
      <c r="L1433" s="654">
        <v>113</v>
      </c>
      <c r="M1433" s="654" t="s">
        <v>86</v>
      </c>
    </row>
    <row r="1434" spans="12:13">
      <c r="L1434" s="654">
        <v>123.03</v>
      </c>
      <c r="M1434" s="654" t="s">
        <v>86</v>
      </c>
    </row>
    <row r="1435" spans="12:13">
      <c r="L1435" s="654">
        <v>125</v>
      </c>
      <c r="M1435" s="654" t="s">
        <v>86</v>
      </c>
    </row>
    <row r="1436" spans="12:13">
      <c r="L1436" s="654">
        <v>126</v>
      </c>
      <c r="M1436" s="654" t="s">
        <v>86</v>
      </c>
    </row>
    <row r="1437" spans="12:13">
      <c r="L1437" s="654">
        <v>127.01</v>
      </c>
      <c r="M1437" s="654" t="s">
        <v>86</v>
      </c>
    </row>
    <row r="1438" spans="12:13">
      <c r="L1438" s="654">
        <v>128</v>
      </c>
      <c r="M1438" s="654" t="s">
        <v>86</v>
      </c>
    </row>
    <row r="1439" spans="12:13">
      <c r="L1439" s="654">
        <v>129</v>
      </c>
      <c r="M1439" s="654" t="s">
        <v>86</v>
      </c>
    </row>
    <row r="1440" spans="12:13">
      <c r="L1440" s="654">
        <v>135.07</v>
      </c>
      <c r="M1440" s="654" t="s">
        <v>86</v>
      </c>
    </row>
    <row r="1441" spans="12:13">
      <c r="L1441" s="654">
        <v>135.09</v>
      </c>
      <c r="M1441" s="654" t="s">
        <v>86</v>
      </c>
    </row>
    <row r="1442" spans="12:13">
      <c r="L1442" s="654">
        <v>136.04</v>
      </c>
      <c r="M1442" s="654" t="s">
        <v>86</v>
      </c>
    </row>
    <row r="1443" spans="12:13">
      <c r="L1443" s="654">
        <v>138.01</v>
      </c>
      <c r="M1443" s="654" t="s">
        <v>86</v>
      </c>
    </row>
    <row r="1444" spans="12:13">
      <c r="L1444" s="654">
        <v>138.02000000000001</v>
      </c>
      <c r="M1444" s="654" t="s">
        <v>86</v>
      </c>
    </row>
    <row r="1445" spans="12:13">
      <c r="L1445" s="654">
        <v>138.03</v>
      </c>
      <c r="M1445" s="654" t="s">
        <v>86</v>
      </c>
    </row>
    <row r="1446" spans="12:13">
      <c r="L1446" s="654">
        <v>139</v>
      </c>
      <c r="M1446" s="654" t="s">
        <v>86</v>
      </c>
    </row>
    <row r="1447" spans="12:13">
      <c r="L1447" s="654">
        <v>140</v>
      </c>
      <c r="M1447" s="654" t="s">
        <v>86</v>
      </c>
    </row>
    <row r="1448" spans="12:13">
      <c r="L1448" s="654">
        <v>141</v>
      </c>
      <c r="M1448" s="654" t="s">
        <v>86</v>
      </c>
    </row>
    <row r="1449" spans="12:13">
      <c r="L1449" s="654">
        <v>144</v>
      </c>
      <c r="M1449" s="654" t="s">
        <v>86</v>
      </c>
    </row>
    <row r="1450" spans="12:13">
      <c r="L1450" s="654">
        <v>145.04</v>
      </c>
      <c r="M1450" s="654" t="s">
        <v>86</v>
      </c>
    </row>
    <row r="1451" spans="12:13">
      <c r="L1451" s="654">
        <v>146.06</v>
      </c>
      <c r="M1451" s="654" t="s">
        <v>86</v>
      </c>
    </row>
    <row r="1452" spans="12:13">
      <c r="L1452" s="654">
        <v>146.07</v>
      </c>
      <c r="M1452" s="654" t="s">
        <v>86</v>
      </c>
    </row>
    <row r="1453" spans="12:13">
      <c r="L1453" s="654">
        <v>147.02000000000001</v>
      </c>
      <c r="M1453" s="654" t="s">
        <v>86</v>
      </c>
    </row>
    <row r="1454" spans="12:13">
      <c r="L1454" s="654">
        <v>147.03</v>
      </c>
      <c r="M1454" s="654" t="s">
        <v>86</v>
      </c>
    </row>
    <row r="1455" spans="12:13">
      <c r="L1455" s="654">
        <v>147.04</v>
      </c>
      <c r="M1455" s="654" t="s">
        <v>86</v>
      </c>
    </row>
    <row r="1456" spans="12:13">
      <c r="L1456" s="654">
        <v>148.06</v>
      </c>
      <c r="M1456" s="654" t="s">
        <v>86</v>
      </c>
    </row>
    <row r="1457" spans="12:13">
      <c r="L1457" s="654">
        <v>148.07</v>
      </c>
      <c r="M1457" s="654" t="s">
        <v>86</v>
      </c>
    </row>
    <row r="1458" spans="12:13">
      <c r="L1458" s="654">
        <v>148.08000000000001</v>
      </c>
      <c r="M1458" s="654" t="s">
        <v>86</v>
      </c>
    </row>
    <row r="1459" spans="12:13">
      <c r="L1459" s="654">
        <v>148.09</v>
      </c>
      <c r="M1459" s="654" t="s">
        <v>86</v>
      </c>
    </row>
    <row r="1460" spans="12:13">
      <c r="L1460" s="654">
        <v>148.1</v>
      </c>
      <c r="M1460" s="654" t="s">
        <v>86</v>
      </c>
    </row>
    <row r="1461" spans="12:13">
      <c r="L1461" s="654">
        <v>148.11000000000001</v>
      </c>
      <c r="M1461" s="654" t="s">
        <v>86</v>
      </c>
    </row>
    <row r="1462" spans="12:13">
      <c r="L1462" s="654">
        <v>148.12</v>
      </c>
      <c r="M1462" s="654" t="s">
        <v>86</v>
      </c>
    </row>
    <row r="1463" spans="12:13">
      <c r="L1463" s="654">
        <v>148.13</v>
      </c>
      <c r="M1463" s="654" t="s">
        <v>86</v>
      </c>
    </row>
    <row r="1464" spans="12:13">
      <c r="L1464" s="654">
        <v>149.06</v>
      </c>
      <c r="M1464" s="654" t="s">
        <v>86</v>
      </c>
    </row>
    <row r="1465" spans="12:13">
      <c r="L1465" s="654">
        <v>150.02000000000001</v>
      </c>
      <c r="M1465" s="654" t="s">
        <v>86</v>
      </c>
    </row>
    <row r="1466" spans="12:13">
      <c r="L1466" s="654">
        <v>150.04</v>
      </c>
      <c r="M1466" s="654" t="s">
        <v>86</v>
      </c>
    </row>
    <row r="1467" spans="12:13">
      <c r="L1467" s="654">
        <v>151.03</v>
      </c>
      <c r="M1467" s="654" t="s">
        <v>86</v>
      </c>
    </row>
    <row r="1468" spans="12:13">
      <c r="L1468" s="654">
        <v>152.01</v>
      </c>
      <c r="M1468" s="654" t="s">
        <v>86</v>
      </c>
    </row>
    <row r="1469" spans="12:13">
      <c r="L1469" s="654">
        <v>153</v>
      </c>
      <c r="M1469" s="654" t="s">
        <v>86</v>
      </c>
    </row>
    <row r="1470" spans="12:13">
      <c r="L1470" s="654">
        <v>154.02000000000001</v>
      </c>
      <c r="M1470" s="654" t="s">
        <v>86</v>
      </c>
    </row>
    <row r="1471" spans="12:13">
      <c r="L1471" s="654">
        <v>155.01</v>
      </c>
      <c r="M1471" s="654" t="s">
        <v>86</v>
      </c>
    </row>
    <row r="1472" spans="12:13">
      <c r="L1472" s="654">
        <v>156.01</v>
      </c>
      <c r="M1472" s="654" t="s">
        <v>86</v>
      </c>
    </row>
    <row r="1473" spans="12:13">
      <c r="L1473" s="654">
        <v>156.02000000000001</v>
      </c>
      <c r="M1473" s="654" t="s">
        <v>86</v>
      </c>
    </row>
    <row r="1474" spans="12:13">
      <c r="L1474" s="654">
        <v>157.01</v>
      </c>
      <c r="M1474" s="654" t="s">
        <v>86</v>
      </c>
    </row>
    <row r="1475" spans="12:13">
      <c r="L1475" s="654">
        <v>157.02000000000001</v>
      </c>
      <c r="M1475" s="654" t="s">
        <v>86</v>
      </c>
    </row>
    <row r="1476" spans="12:13">
      <c r="L1476" s="654">
        <v>158.01</v>
      </c>
      <c r="M1476" s="654" t="s">
        <v>86</v>
      </c>
    </row>
    <row r="1477" spans="12:13">
      <c r="L1477" s="654">
        <v>158.02000000000001</v>
      </c>
      <c r="M1477" s="654" t="s">
        <v>86</v>
      </c>
    </row>
    <row r="1478" spans="12:13">
      <c r="L1478" s="654">
        <v>159.02000000000001</v>
      </c>
      <c r="M1478" s="654" t="s">
        <v>86</v>
      </c>
    </row>
    <row r="1479" spans="12:13">
      <c r="L1479" s="654">
        <v>160.01</v>
      </c>
      <c r="M1479" s="654" t="s">
        <v>86</v>
      </c>
    </row>
    <row r="1480" spans="12:13">
      <c r="L1480" s="654">
        <v>160.02000000000001</v>
      </c>
      <c r="M1480" s="654" t="s">
        <v>86</v>
      </c>
    </row>
    <row r="1481" spans="12:13">
      <c r="L1481" s="654">
        <v>161</v>
      </c>
      <c r="M1481" s="654" t="s">
        <v>86</v>
      </c>
    </row>
    <row r="1482" spans="12:13">
      <c r="L1482" s="654">
        <v>162</v>
      </c>
      <c r="M1482" s="654" t="s">
        <v>86</v>
      </c>
    </row>
    <row r="1483" spans="12:13">
      <c r="L1483" s="654">
        <v>163.01</v>
      </c>
      <c r="M1483" s="654" t="s">
        <v>86</v>
      </c>
    </row>
    <row r="1484" spans="12:13">
      <c r="L1484" s="654">
        <v>164.02</v>
      </c>
      <c r="M1484" s="654" t="s">
        <v>86</v>
      </c>
    </row>
    <row r="1485" spans="12:13">
      <c r="L1485" s="654">
        <v>164.07</v>
      </c>
      <c r="M1485" s="654" t="s">
        <v>86</v>
      </c>
    </row>
    <row r="1486" spans="12:13">
      <c r="L1486" s="654">
        <v>164.08</v>
      </c>
      <c r="M1486" s="654" t="s">
        <v>86</v>
      </c>
    </row>
    <row r="1487" spans="12:13">
      <c r="L1487" s="654">
        <v>164.09</v>
      </c>
      <c r="M1487" s="654" t="s">
        <v>86</v>
      </c>
    </row>
    <row r="1488" spans="12:13">
      <c r="L1488" s="654">
        <v>164.1</v>
      </c>
      <c r="M1488" s="654" t="s">
        <v>86</v>
      </c>
    </row>
    <row r="1489" spans="12:13">
      <c r="L1489" s="654">
        <v>164.11</v>
      </c>
      <c r="M1489" s="654" t="s">
        <v>86</v>
      </c>
    </row>
    <row r="1490" spans="12:13">
      <c r="L1490" s="654">
        <v>164.12</v>
      </c>
      <c r="M1490" s="654" t="s">
        <v>86</v>
      </c>
    </row>
    <row r="1491" spans="12:13">
      <c r="L1491" s="654">
        <v>165.03</v>
      </c>
      <c r="M1491" s="654" t="s">
        <v>86</v>
      </c>
    </row>
    <row r="1492" spans="12:13">
      <c r="L1492" s="654">
        <v>165.04</v>
      </c>
      <c r="M1492" s="654" t="s">
        <v>86</v>
      </c>
    </row>
    <row r="1493" spans="12:13">
      <c r="L1493" s="654">
        <v>165.05</v>
      </c>
      <c r="M1493" s="654" t="s">
        <v>86</v>
      </c>
    </row>
    <row r="1494" spans="12:13">
      <c r="L1494" s="654">
        <v>165.07</v>
      </c>
      <c r="M1494" s="654" t="s">
        <v>86</v>
      </c>
    </row>
    <row r="1495" spans="12:13">
      <c r="L1495" s="654">
        <v>165.11</v>
      </c>
      <c r="M1495" s="654" t="s">
        <v>86</v>
      </c>
    </row>
    <row r="1496" spans="12:13">
      <c r="L1496" s="654">
        <v>166.01</v>
      </c>
      <c r="M1496" s="654" t="s">
        <v>86</v>
      </c>
    </row>
    <row r="1497" spans="12:13">
      <c r="L1497" s="654">
        <v>166.02</v>
      </c>
      <c r="M1497" s="654" t="s">
        <v>86</v>
      </c>
    </row>
    <row r="1498" spans="12:13">
      <c r="L1498" s="654">
        <v>167.04</v>
      </c>
      <c r="M1498" s="654" t="s">
        <v>86</v>
      </c>
    </row>
    <row r="1499" spans="12:13">
      <c r="L1499" s="654">
        <v>167.1</v>
      </c>
      <c r="M1499" s="654" t="s">
        <v>86</v>
      </c>
    </row>
    <row r="1500" spans="12:13">
      <c r="L1500" s="654">
        <v>167.14</v>
      </c>
      <c r="M1500" s="654" t="s">
        <v>86</v>
      </c>
    </row>
    <row r="1501" spans="12:13">
      <c r="L1501" s="654">
        <v>167.16</v>
      </c>
      <c r="M1501" s="654" t="s">
        <v>86</v>
      </c>
    </row>
    <row r="1502" spans="12:13">
      <c r="L1502" s="654">
        <v>167.17</v>
      </c>
      <c r="M1502" s="654" t="s">
        <v>86</v>
      </c>
    </row>
    <row r="1503" spans="12:13">
      <c r="L1503" s="654">
        <v>167.23</v>
      </c>
      <c r="M1503" s="654" t="s">
        <v>86</v>
      </c>
    </row>
    <row r="1504" spans="12:13">
      <c r="L1504" s="654">
        <v>167.27</v>
      </c>
      <c r="M1504" s="654" t="s">
        <v>86</v>
      </c>
    </row>
    <row r="1505" spans="12:13">
      <c r="L1505" s="654">
        <v>167.28</v>
      </c>
      <c r="M1505" s="654" t="s">
        <v>86</v>
      </c>
    </row>
    <row r="1506" spans="12:13">
      <c r="L1506" s="654">
        <v>167.3</v>
      </c>
      <c r="M1506" s="654" t="s">
        <v>86</v>
      </c>
    </row>
    <row r="1507" spans="12:13">
      <c r="L1507" s="654">
        <v>167.31</v>
      </c>
      <c r="M1507" s="654" t="s">
        <v>86</v>
      </c>
    </row>
    <row r="1508" spans="12:13">
      <c r="L1508" s="654">
        <v>167.32</v>
      </c>
      <c r="M1508" s="654" t="s">
        <v>86</v>
      </c>
    </row>
    <row r="1509" spans="12:13">
      <c r="L1509" s="654">
        <v>167.33</v>
      </c>
      <c r="M1509" s="654" t="s">
        <v>86</v>
      </c>
    </row>
    <row r="1510" spans="12:13">
      <c r="L1510" s="654">
        <v>167.34</v>
      </c>
      <c r="M1510" s="654" t="s">
        <v>86</v>
      </c>
    </row>
    <row r="1511" spans="12:13">
      <c r="L1511" s="654">
        <v>168.02</v>
      </c>
      <c r="M1511" s="654" t="s">
        <v>86</v>
      </c>
    </row>
    <row r="1512" spans="12:13">
      <c r="L1512" s="654">
        <v>168.03</v>
      </c>
      <c r="M1512" s="654" t="s">
        <v>86</v>
      </c>
    </row>
    <row r="1513" spans="12:13">
      <c r="L1513" s="654">
        <v>168.04</v>
      </c>
      <c r="M1513" s="654" t="s">
        <v>86</v>
      </c>
    </row>
    <row r="1514" spans="12:13">
      <c r="L1514" s="654">
        <v>168.07</v>
      </c>
      <c r="M1514" s="654" t="s">
        <v>86</v>
      </c>
    </row>
    <row r="1515" spans="12:13">
      <c r="L1515" s="654">
        <v>170.04</v>
      </c>
      <c r="M1515" s="654" t="s">
        <v>86</v>
      </c>
    </row>
    <row r="1516" spans="12:13">
      <c r="L1516" s="654">
        <v>170.06</v>
      </c>
      <c r="M1516" s="654" t="s">
        <v>86</v>
      </c>
    </row>
    <row r="1517" spans="12:13">
      <c r="L1517" s="654">
        <v>170.08</v>
      </c>
      <c r="M1517" s="654" t="s">
        <v>86</v>
      </c>
    </row>
    <row r="1518" spans="12:13">
      <c r="L1518" s="654">
        <v>170.12</v>
      </c>
      <c r="M1518" s="654" t="s">
        <v>86</v>
      </c>
    </row>
    <row r="1519" spans="12:13">
      <c r="L1519" s="654">
        <v>170.13</v>
      </c>
      <c r="M1519" s="654" t="s">
        <v>86</v>
      </c>
    </row>
    <row r="1520" spans="12:13">
      <c r="L1520" s="654">
        <v>170.14</v>
      </c>
      <c r="M1520" s="654" t="s">
        <v>86</v>
      </c>
    </row>
    <row r="1521" spans="12:13">
      <c r="L1521" s="654">
        <v>170.15</v>
      </c>
      <c r="M1521" s="654" t="s">
        <v>86</v>
      </c>
    </row>
    <row r="1522" spans="12:13">
      <c r="L1522" s="654">
        <v>170.16</v>
      </c>
      <c r="M1522" s="654" t="s">
        <v>86</v>
      </c>
    </row>
    <row r="1523" spans="12:13">
      <c r="L1523" s="654">
        <v>170.17</v>
      </c>
      <c r="M1523" s="654" t="s">
        <v>86</v>
      </c>
    </row>
    <row r="1524" spans="12:13">
      <c r="L1524" s="654">
        <v>171.03</v>
      </c>
      <c r="M1524" s="654" t="s">
        <v>86</v>
      </c>
    </row>
    <row r="1525" spans="12:13">
      <c r="L1525" s="654">
        <v>171.04</v>
      </c>
      <c r="M1525" s="654" t="s">
        <v>86</v>
      </c>
    </row>
    <row r="1526" spans="12:13">
      <c r="L1526" s="654">
        <v>171.05</v>
      </c>
      <c r="M1526" s="654" t="s">
        <v>86</v>
      </c>
    </row>
    <row r="1527" spans="12:13">
      <c r="L1527" s="654">
        <v>171.07</v>
      </c>
      <c r="M1527" s="654" t="s">
        <v>86</v>
      </c>
    </row>
    <row r="1528" spans="12:13">
      <c r="L1528" s="654">
        <v>171.08</v>
      </c>
      <c r="M1528" s="654" t="s">
        <v>86</v>
      </c>
    </row>
    <row r="1529" spans="12:13">
      <c r="L1529" s="654">
        <v>171.09</v>
      </c>
      <c r="M1529" s="654" t="s">
        <v>86</v>
      </c>
    </row>
    <row r="1530" spans="12:13">
      <c r="L1530" s="654">
        <v>172</v>
      </c>
      <c r="M1530" s="654" t="s">
        <v>86</v>
      </c>
    </row>
    <row r="1531" spans="12:13">
      <c r="L1531" s="654">
        <v>174</v>
      </c>
      <c r="M1531" s="654" t="s">
        <v>86</v>
      </c>
    </row>
    <row r="1532" spans="12:13">
      <c r="L1532" s="654">
        <v>175.01</v>
      </c>
      <c r="M1532" s="654" t="s">
        <v>86</v>
      </c>
    </row>
    <row r="1533" spans="12:13">
      <c r="L1533" s="654">
        <v>177.02</v>
      </c>
      <c r="M1533" s="654" t="s">
        <v>86</v>
      </c>
    </row>
    <row r="1534" spans="12:13">
      <c r="L1534" s="654">
        <v>178.02</v>
      </c>
      <c r="M1534" s="654" t="s">
        <v>86</v>
      </c>
    </row>
    <row r="1535" spans="12:13">
      <c r="L1535" s="654">
        <v>178.04</v>
      </c>
      <c r="M1535" s="654" t="s">
        <v>86</v>
      </c>
    </row>
    <row r="1536" spans="12:13">
      <c r="L1536" s="654">
        <v>178.05</v>
      </c>
      <c r="M1536" s="654" t="s">
        <v>86</v>
      </c>
    </row>
    <row r="1537" spans="12:13">
      <c r="L1537" s="654">
        <v>178.06</v>
      </c>
      <c r="M1537" s="654" t="s">
        <v>86</v>
      </c>
    </row>
    <row r="1538" spans="12:13">
      <c r="L1538" s="654">
        <v>178.08</v>
      </c>
      <c r="M1538" s="654" t="s">
        <v>86</v>
      </c>
    </row>
    <row r="1539" spans="12:13">
      <c r="L1539" s="654">
        <v>179.01</v>
      </c>
      <c r="M1539" s="654" t="s">
        <v>86</v>
      </c>
    </row>
    <row r="1540" spans="12:13">
      <c r="L1540" s="654">
        <v>181</v>
      </c>
      <c r="M1540" s="654" t="s">
        <v>86</v>
      </c>
    </row>
    <row r="1541" spans="12:13">
      <c r="L1541" s="654">
        <v>182</v>
      </c>
      <c r="M1541" s="654" t="s">
        <v>86</v>
      </c>
    </row>
    <row r="1542" spans="12:13">
      <c r="L1542" s="654">
        <v>184</v>
      </c>
      <c r="M1542" s="654" t="s">
        <v>86</v>
      </c>
    </row>
    <row r="1543" spans="12:13">
      <c r="L1543" s="654">
        <v>188</v>
      </c>
      <c r="M1543" s="654" t="s">
        <v>86</v>
      </c>
    </row>
    <row r="1544" spans="12:13">
      <c r="L1544" s="654">
        <v>408.01</v>
      </c>
      <c r="M1544" s="654" t="s">
        <v>87</v>
      </c>
    </row>
    <row r="1545" spans="12:13">
      <c r="L1545" s="654">
        <v>408.02</v>
      </c>
      <c r="M1545" s="654" t="s">
        <v>87</v>
      </c>
    </row>
    <row r="1546" spans="12:13">
      <c r="L1546" s="654">
        <v>408.03</v>
      </c>
      <c r="M1546" s="654" t="s">
        <v>87</v>
      </c>
    </row>
    <row r="1547" spans="12:13">
      <c r="L1547" s="654">
        <v>408.04</v>
      </c>
      <c r="M1547" s="654" t="s">
        <v>87</v>
      </c>
    </row>
    <row r="1548" spans="12:13">
      <c r="L1548" s="654">
        <v>409.01</v>
      </c>
      <c r="M1548" s="654" t="s">
        <v>87</v>
      </c>
    </row>
    <row r="1549" spans="12:13">
      <c r="L1549" s="654">
        <v>410.01</v>
      </c>
      <c r="M1549" s="654" t="s">
        <v>87</v>
      </c>
    </row>
    <row r="1550" spans="12:13">
      <c r="L1550" s="654">
        <v>410.02</v>
      </c>
      <c r="M1550" s="654" t="s">
        <v>87</v>
      </c>
    </row>
    <row r="1551" spans="12:13">
      <c r="L1551" s="654">
        <v>415</v>
      </c>
      <c r="M1551" s="654" t="s">
        <v>87</v>
      </c>
    </row>
    <row r="1552" spans="12:13">
      <c r="L1552" s="654">
        <v>421</v>
      </c>
      <c r="M1552" s="654" t="s">
        <v>87</v>
      </c>
    </row>
    <row r="1553" spans="12:13">
      <c r="L1553" s="654">
        <v>424</v>
      </c>
      <c r="M1553" s="654" t="s">
        <v>87</v>
      </c>
    </row>
    <row r="1554" spans="12:13">
      <c r="L1554" s="654">
        <v>426.01</v>
      </c>
      <c r="M1554" s="654" t="s">
        <v>87</v>
      </c>
    </row>
    <row r="1555" spans="12:13">
      <c r="L1555" s="654">
        <v>426.02</v>
      </c>
      <c r="M1555" s="654" t="s">
        <v>87</v>
      </c>
    </row>
    <row r="1556" spans="12:13">
      <c r="L1556" s="654">
        <v>428</v>
      </c>
      <c r="M1556" s="654" t="s">
        <v>87</v>
      </c>
    </row>
    <row r="1557" spans="12:13">
      <c r="L1557" s="654">
        <v>429</v>
      </c>
      <c r="M1557" s="654" t="s">
        <v>87</v>
      </c>
    </row>
    <row r="1558" spans="12:13">
      <c r="L1558" s="654">
        <v>431</v>
      </c>
      <c r="M1558" s="654" t="s">
        <v>87</v>
      </c>
    </row>
    <row r="1559" spans="12:13">
      <c r="L1559" s="654">
        <v>432.02</v>
      </c>
      <c r="M1559" s="654" t="s">
        <v>87</v>
      </c>
    </row>
    <row r="1560" spans="12:13">
      <c r="L1560" s="654">
        <v>432.04</v>
      </c>
      <c r="M1560" s="654" t="s">
        <v>87</v>
      </c>
    </row>
    <row r="1561" spans="12:13">
      <c r="L1561" s="654">
        <v>433.01</v>
      </c>
      <c r="M1561" s="654" t="s">
        <v>87</v>
      </c>
    </row>
    <row r="1562" spans="12:13">
      <c r="L1562" s="654">
        <v>433.02</v>
      </c>
      <c r="M1562" s="654" t="s">
        <v>87</v>
      </c>
    </row>
    <row r="1563" spans="12:13">
      <c r="L1563" s="654">
        <v>434</v>
      </c>
      <c r="M1563" s="654" t="s">
        <v>87</v>
      </c>
    </row>
    <row r="1564" spans="12:13">
      <c r="L1564" s="654">
        <v>436</v>
      </c>
      <c r="M1564" s="654" t="s">
        <v>87</v>
      </c>
    </row>
    <row r="1565" spans="12:13">
      <c r="L1565" s="654">
        <v>437</v>
      </c>
      <c r="M1565" s="654" t="s">
        <v>87</v>
      </c>
    </row>
    <row r="1566" spans="12:13">
      <c r="L1566" s="654">
        <v>438</v>
      </c>
      <c r="M1566" s="654" t="s">
        <v>87</v>
      </c>
    </row>
    <row r="1567" spans="12:13">
      <c r="L1567" s="654">
        <v>1.01</v>
      </c>
      <c r="M1567" s="654" t="s">
        <v>88</v>
      </c>
    </row>
    <row r="1568" spans="12:13">
      <c r="L1568" s="654">
        <v>1.02</v>
      </c>
      <c r="M1568" s="654" t="s">
        <v>88</v>
      </c>
    </row>
    <row r="1569" spans="12:13">
      <c r="L1569" s="654">
        <v>2.02</v>
      </c>
      <c r="M1569" s="654" t="s">
        <v>88</v>
      </c>
    </row>
    <row r="1570" spans="12:13">
      <c r="L1570" s="654">
        <v>2.04</v>
      </c>
      <c r="M1570" s="654" t="s">
        <v>88</v>
      </c>
    </row>
    <row r="1571" spans="12:13">
      <c r="L1571" s="654">
        <v>2.0499999999999998</v>
      </c>
      <c r="M1571" s="654" t="s">
        <v>88</v>
      </c>
    </row>
    <row r="1572" spans="12:13">
      <c r="L1572" s="654">
        <v>2.06</v>
      </c>
      <c r="M1572" s="654" t="s">
        <v>88</v>
      </c>
    </row>
    <row r="1573" spans="12:13">
      <c r="L1573" s="654">
        <v>2.08</v>
      </c>
      <c r="M1573" s="654" t="s">
        <v>88</v>
      </c>
    </row>
    <row r="1574" spans="12:13">
      <c r="L1574" s="654">
        <v>2.09</v>
      </c>
      <c r="M1574" s="654" t="s">
        <v>88</v>
      </c>
    </row>
    <row r="1575" spans="12:13">
      <c r="L1575" s="654">
        <v>2.1</v>
      </c>
      <c r="M1575" s="654" t="s">
        <v>88</v>
      </c>
    </row>
    <row r="1576" spans="12:13">
      <c r="L1576" s="654">
        <v>2.11</v>
      </c>
      <c r="M1576" s="654" t="s">
        <v>88</v>
      </c>
    </row>
    <row r="1577" spans="12:13">
      <c r="L1577" s="654">
        <v>2.14</v>
      </c>
      <c r="M1577" s="654" t="s">
        <v>88</v>
      </c>
    </row>
    <row r="1578" spans="12:13">
      <c r="L1578" s="654">
        <v>2.15</v>
      </c>
      <c r="M1578" s="654" t="s">
        <v>88</v>
      </c>
    </row>
    <row r="1579" spans="12:13">
      <c r="L1579" s="654">
        <v>3.01</v>
      </c>
      <c r="M1579" s="654" t="s">
        <v>88</v>
      </c>
    </row>
    <row r="1580" spans="12:13">
      <c r="L1580" s="654">
        <v>3.03</v>
      </c>
      <c r="M1580" s="654" t="s">
        <v>88</v>
      </c>
    </row>
    <row r="1581" spans="12:13">
      <c r="L1581" s="654">
        <v>3.04</v>
      </c>
      <c r="M1581" s="654" t="s">
        <v>88</v>
      </c>
    </row>
    <row r="1582" spans="12:13">
      <c r="L1582" s="654">
        <v>4.05</v>
      </c>
      <c r="M1582" s="654" t="s">
        <v>88</v>
      </c>
    </row>
    <row r="1583" spans="12:13">
      <c r="L1583" s="654">
        <v>4.0599999999999996</v>
      </c>
      <c r="M1583" s="654" t="s">
        <v>88</v>
      </c>
    </row>
    <row r="1584" spans="12:13">
      <c r="L1584" s="654">
        <v>4.07</v>
      </c>
      <c r="M1584" s="654" t="s">
        <v>88</v>
      </c>
    </row>
    <row r="1585" spans="12:13">
      <c r="L1585" s="654">
        <v>4.08</v>
      </c>
      <c r="M1585" s="654" t="s">
        <v>88</v>
      </c>
    </row>
    <row r="1586" spans="12:13">
      <c r="L1586" s="654">
        <v>4.0999999999999996</v>
      </c>
      <c r="M1586" s="654" t="s">
        <v>88</v>
      </c>
    </row>
    <row r="1587" spans="12:13">
      <c r="L1587" s="654">
        <v>5.05</v>
      </c>
      <c r="M1587" s="654" t="s">
        <v>88</v>
      </c>
    </row>
    <row r="1588" spans="12:13">
      <c r="L1588" s="654">
        <v>5.07</v>
      </c>
      <c r="M1588" s="654" t="s">
        <v>88</v>
      </c>
    </row>
    <row r="1589" spans="12:13">
      <c r="L1589" s="654">
        <v>5.09</v>
      </c>
      <c r="M1589" s="654" t="s">
        <v>88</v>
      </c>
    </row>
    <row r="1590" spans="12:13">
      <c r="L1590" s="654">
        <v>5.1100000000000003</v>
      </c>
      <c r="M1590" s="654" t="s">
        <v>88</v>
      </c>
    </row>
    <row r="1591" spans="12:13">
      <c r="L1591" s="654">
        <v>7.02</v>
      </c>
      <c r="M1591" s="654" t="s">
        <v>88</v>
      </c>
    </row>
    <row r="1592" spans="12:13">
      <c r="L1592" s="654">
        <v>7.03</v>
      </c>
      <c r="M1592" s="654" t="s">
        <v>88</v>
      </c>
    </row>
    <row r="1593" spans="12:13">
      <c r="L1593" s="654">
        <v>8.02</v>
      </c>
      <c r="M1593" s="654" t="s">
        <v>88</v>
      </c>
    </row>
    <row r="1594" spans="12:13">
      <c r="L1594" s="654">
        <v>8.0299999999999994</v>
      </c>
      <c r="M1594" s="654" t="s">
        <v>88</v>
      </c>
    </row>
    <row r="1595" spans="12:13">
      <c r="L1595" s="654">
        <v>8.0399999999999991</v>
      </c>
      <c r="M1595" s="654" t="s">
        <v>88</v>
      </c>
    </row>
    <row r="1596" spans="12:13">
      <c r="L1596" s="654">
        <v>9.02</v>
      </c>
      <c r="M1596" s="654" t="s">
        <v>88</v>
      </c>
    </row>
    <row r="1597" spans="12:13">
      <c r="L1597" s="654">
        <v>9.0299999999999994</v>
      </c>
      <c r="M1597" s="654" t="s">
        <v>88</v>
      </c>
    </row>
    <row r="1598" spans="12:13">
      <c r="L1598" s="654">
        <v>9.0399999999999991</v>
      </c>
      <c r="M1598" s="654" t="s">
        <v>88</v>
      </c>
    </row>
    <row r="1599" spans="12:13">
      <c r="L1599" s="654">
        <v>9.0500000000000007</v>
      </c>
      <c r="M1599" s="654" t="s">
        <v>88</v>
      </c>
    </row>
    <row r="1600" spans="12:13">
      <c r="L1600" s="654">
        <v>10.029999999999999</v>
      </c>
      <c r="M1600" s="654" t="s">
        <v>88</v>
      </c>
    </row>
    <row r="1601" spans="12:13">
      <c r="L1601" s="654">
        <v>11.01</v>
      </c>
      <c r="M1601" s="654" t="s">
        <v>88</v>
      </c>
    </row>
    <row r="1602" spans="12:13">
      <c r="L1602" s="654">
        <v>11.02</v>
      </c>
      <c r="M1602" s="654" t="s">
        <v>88</v>
      </c>
    </row>
    <row r="1603" spans="12:13">
      <c r="L1603" s="654">
        <v>19.04</v>
      </c>
      <c r="M1603" s="654" t="s">
        <v>88</v>
      </c>
    </row>
    <row r="1604" spans="12:13">
      <c r="L1604" s="654">
        <v>19.14</v>
      </c>
      <c r="M1604" s="654" t="s">
        <v>88</v>
      </c>
    </row>
    <row r="1605" spans="12:13">
      <c r="L1605" s="654">
        <v>19.149999999999999</v>
      </c>
      <c r="M1605" s="654" t="s">
        <v>88</v>
      </c>
    </row>
    <row r="1606" spans="12:13">
      <c r="L1606" s="654">
        <v>19.16</v>
      </c>
      <c r="M1606" s="654" t="s">
        <v>88</v>
      </c>
    </row>
    <row r="1607" spans="12:13">
      <c r="L1607" s="654">
        <v>20.05</v>
      </c>
      <c r="M1607" s="654" t="s">
        <v>88</v>
      </c>
    </row>
    <row r="1608" spans="12:13">
      <c r="L1608" s="654">
        <v>23</v>
      </c>
      <c r="M1608" s="654" t="s">
        <v>88</v>
      </c>
    </row>
    <row r="1609" spans="12:13">
      <c r="L1609" s="654">
        <v>26</v>
      </c>
      <c r="M1609" s="654" t="s">
        <v>88</v>
      </c>
    </row>
    <row r="1610" spans="12:13">
      <c r="L1610" s="654">
        <v>27</v>
      </c>
      <c r="M1610" s="654" t="s">
        <v>88</v>
      </c>
    </row>
    <row r="1611" spans="12:13">
      <c r="L1611" s="654">
        <v>32.020000000000003</v>
      </c>
      <c r="M1611" s="654" t="s">
        <v>88</v>
      </c>
    </row>
    <row r="1612" spans="12:13">
      <c r="L1612" s="654">
        <v>34</v>
      </c>
      <c r="M1612" s="654" t="s">
        <v>88</v>
      </c>
    </row>
    <row r="1613" spans="12:13">
      <c r="L1613" s="654">
        <v>35.04</v>
      </c>
      <c r="M1613" s="654" t="s">
        <v>88</v>
      </c>
    </row>
    <row r="1614" spans="12:13">
      <c r="L1614" s="654">
        <v>35.07</v>
      </c>
      <c r="M1614" s="654" t="s">
        <v>88</v>
      </c>
    </row>
    <row r="1615" spans="12:13">
      <c r="L1615" s="654">
        <v>35.090000000000003</v>
      </c>
      <c r="M1615" s="654" t="s">
        <v>88</v>
      </c>
    </row>
    <row r="1616" spans="12:13">
      <c r="L1616" s="654">
        <v>35.11</v>
      </c>
      <c r="M1616" s="654" t="s">
        <v>88</v>
      </c>
    </row>
    <row r="1617" spans="12:13">
      <c r="L1617" s="654">
        <v>36</v>
      </c>
      <c r="M1617" s="654" t="s">
        <v>88</v>
      </c>
    </row>
    <row r="1618" spans="12:13">
      <c r="L1618" s="654">
        <v>38</v>
      </c>
      <c r="M1618" s="654" t="s">
        <v>88</v>
      </c>
    </row>
    <row r="1619" spans="12:13">
      <c r="L1619" s="654">
        <v>43</v>
      </c>
      <c r="M1619" s="654" t="s">
        <v>88</v>
      </c>
    </row>
    <row r="1620" spans="12:13">
      <c r="L1620" s="654">
        <v>48.09</v>
      </c>
      <c r="M1620" s="654" t="s">
        <v>88</v>
      </c>
    </row>
    <row r="1621" spans="12:13">
      <c r="L1621" s="654">
        <v>48.15</v>
      </c>
      <c r="M1621" s="654" t="s">
        <v>88</v>
      </c>
    </row>
    <row r="1622" spans="12:13">
      <c r="L1622" s="654">
        <v>49.02</v>
      </c>
      <c r="M1622" s="654" t="s">
        <v>88</v>
      </c>
    </row>
    <row r="1623" spans="12:13">
      <c r="L1623" s="654">
        <v>53</v>
      </c>
      <c r="M1623" s="654" t="s">
        <v>88</v>
      </c>
    </row>
    <row r="1624" spans="12:13">
      <c r="L1624" s="654">
        <v>54.05</v>
      </c>
      <c r="M1624" s="654" t="s">
        <v>88</v>
      </c>
    </row>
    <row r="1625" spans="12:13">
      <c r="L1625" s="654">
        <v>54.07</v>
      </c>
      <c r="M1625" s="654" t="s">
        <v>88</v>
      </c>
    </row>
    <row r="1626" spans="12:13">
      <c r="L1626" s="654">
        <v>54.09</v>
      </c>
      <c r="M1626" s="654" t="s">
        <v>88</v>
      </c>
    </row>
    <row r="1627" spans="12:13">
      <c r="L1627" s="654">
        <v>54.11</v>
      </c>
      <c r="M1627" s="654" t="s">
        <v>88</v>
      </c>
    </row>
    <row r="1628" spans="12:13">
      <c r="L1628" s="654">
        <v>56.02</v>
      </c>
      <c r="M1628" s="654" t="s">
        <v>88</v>
      </c>
    </row>
    <row r="1629" spans="12:13">
      <c r="L1629" s="654">
        <v>58.08</v>
      </c>
      <c r="M1629" s="654" t="s">
        <v>88</v>
      </c>
    </row>
    <row r="1630" spans="12:13">
      <c r="L1630" s="654">
        <v>58.11</v>
      </c>
      <c r="M1630" s="654" t="s">
        <v>88</v>
      </c>
    </row>
    <row r="1631" spans="12:13">
      <c r="L1631" s="654">
        <v>58.13</v>
      </c>
      <c r="M1631" s="654" t="s">
        <v>88</v>
      </c>
    </row>
    <row r="1632" spans="12:13">
      <c r="L1632" s="654">
        <v>58.16</v>
      </c>
      <c r="M1632" s="654" t="s">
        <v>88</v>
      </c>
    </row>
    <row r="1633" spans="12:13">
      <c r="L1633" s="654">
        <v>59.03</v>
      </c>
      <c r="M1633" s="654" t="s">
        <v>88</v>
      </c>
    </row>
    <row r="1634" spans="12:13">
      <c r="L1634" s="654">
        <v>59.16</v>
      </c>
      <c r="M1634" s="654" t="s">
        <v>88</v>
      </c>
    </row>
    <row r="1635" spans="12:13">
      <c r="L1635" s="654">
        <v>59.17</v>
      </c>
      <c r="M1635" s="654" t="s">
        <v>88</v>
      </c>
    </row>
    <row r="1636" spans="12:13">
      <c r="L1636" s="654">
        <v>59.18</v>
      </c>
      <c r="M1636" s="654" t="s">
        <v>88</v>
      </c>
    </row>
    <row r="1637" spans="12:13">
      <c r="L1637" s="654">
        <v>59.21</v>
      </c>
      <c r="M1637" s="654" t="s">
        <v>88</v>
      </c>
    </row>
    <row r="1638" spans="12:13">
      <c r="L1638" s="654">
        <v>59.22</v>
      </c>
      <c r="M1638" s="654" t="s">
        <v>88</v>
      </c>
    </row>
    <row r="1639" spans="12:13">
      <c r="L1639" s="654">
        <v>59.23</v>
      </c>
      <c r="M1639" s="654" t="s">
        <v>88</v>
      </c>
    </row>
    <row r="1640" spans="12:13">
      <c r="L1640" s="654">
        <v>59.26</v>
      </c>
      <c r="M1640" s="654" t="s">
        <v>88</v>
      </c>
    </row>
    <row r="1641" spans="12:13">
      <c r="L1641" s="654">
        <v>59.31</v>
      </c>
      <c r="M1641" s="654" t="s">
        <v>88</v>
      </c>
    </row>
    <row r="1642" spans="12:13">
      <c r="L1642" s="654">
        <v>59.34</v>
      </c>
      <c r="M1642" s="654" t="s">
        <v>88</v>
      </c>
    </row>
    <row r="1643" spans="12:13">
      <c r="L1643" s="654">
        <v>59.37</v>
      </c>
      <c r="M1643" s="654" t="s">
        <v>88</v>
      </c>
    </row>
    <row r="1644" spans="12:13">
      <c r="L1644" s="654">
        <v>59.38</v>
      </c>
      <c r="M1644" s="654" t="s">
        <v>88</v>
      </c>
    </row>
    <row r="1645" spans="12:13">
      <c r="L1645" s="654">
        <v>59.42</v>
      </c>
      <c r="M1645" s="654" t="s">
        <v>88</v>
      </c>
    </row>
    <row r="1646" spans="12:13">
      <c r="L1646" s="654">
        <v>59.45</v>
      </c>
      <c r="M1646" s="654" t="s">
        <v>88</v>
      </c>
    </row>
    <row r="1647" spans="12:13">
      <c r="L1647" s="654">
        <v>59.46</v>
      </c>
      <c r="M1647" s="654" t="s">
        <v>88</v>
      </c>
    </row>
    <row r="1648" spans="12:13">
      <c r="L1648" s="654">
        <v>59.47</v>
      </c>
      <c r="M1648" s="654" t="s">
        <v>88</v>
      </c>
    </row>
    <row r="1649" spans="12:13">
      <c r="L1649" s="654">
        <v>59.49</v>
      </c>
      <c r="M1649" s="654" t="s">
        <v>88</v>
      </c>
    </row>
    <row r="1650" spans="12:13">
      <c r="L1650" s="654">
        <v>59.5</v>
      </c>
      <c r="M1650" s="654" t="s">
        <v>88</v>
      </c>
    </row>
    <row r="1651" spans="12:13">
      <c r="L1651" s="654">
        <v>59.53</v>
      </c>
      <c r="M1651" s="654" t="s">
        <v>88</v>
      </c>
    </row>
    <row r="1652" spans="12:13">
      <c r="L1652" s="654">
        <v>59.54</v>
      </c>
      <c r="M1652" s="654" t="s">
        <v>88</v>
      </c>
    </row>
    <row r="1653" spans="12:13">
      <c r="L1653" s="654">
        <v>59.55</v>
      </c>
      <c r="M1653" s="654" t="s">
        <v>88</v>
      </c>
    </row>
    <row r="1654" spans="12:13">
      <c r="L1654" s="654">
        <v>60.05</v>
      </c>
      <c r="M1654" s="654" t="s">
        <v>88</v>
      </c>
    </row>
    <row r="1655" spans="12:13">
      <c r="L1655" s="654">
        <v>60.06</v>
      </c>
      <c r="M1655" s="654" t="s">
        <v>88</v>
      </c>
    </row>
    <row r="1656" spans="12:13">
      <c r="L1656" s="654">
        <v>60.08</v>
      </c>
      <c r="M1656" s="654" t="s">
        <v>88</v>
      </c>
    </row>
    <row r="1657" spans="12:13">
      <c r="L1657" s="654">
        <v>62.02</v>
      </c>
      <c r="M1657" s="654" t="s">
        <v>88</v>
      </c>
    </row>
    <row r="1658" spans="12:13">
      <c r="L1658" s="654">
        <v>63</v>
      </c>
      <c r="M1658" s="654" t="s">
        <v>88</v>
      </c>
    </row>
    <row r="1659" spans="12:13">
      <c r="L1659" s="654">
        <v>64.010000000000005</v>
      </c>
      <c r="M1659" s="654" t="s">
        <v>88</v>
      </c>
    </row>
    <row r="1660" spans="12:13">
      <c r="L1660" s="654">
        <v>64.02</v>
      </c>
      <c r="M1660" s="654" t="s">
        <v>88</v>
      </c>
    </row>
    <row r="1661" spans="12:13">
      <c r="L1661" s="654">
        <v>66.02</v>
      </c>
      <c r="M1661" s="654" t="s">
        <v>88</v>
      </c>
    </row>
    <row r="1662" spans="12:13">
      <c r="L1662" s="654">
        <v>66.03</v>
      </c>
      <c r="M1662" s="654" t="s">
        <v>88</v>
      </c>
    </row>
    <row r="1663" spans="12:13">
      <c r="L1663" s="654">
        <v>66.05</v>
      </c>
      <c r="M1663" s="654" t="s">
        <v>88</v>
      </c>
    </row>
    <row r="1664" spans="12:13">
      <c r="L1664" s="654">
        <v>69.06</v>
      </c>
      <c r="M1664" s="654" t="s">
        <v>88</v>
      </c>
    </row>
    <row r="1665" spans="12:13">
      <c r="L1665" s="654">
        <v>69.11</v>
      </c>
      <c r="M1665" s="654" t="s">
        <v>88</v>
      </c>
    </row>
    <row r="1666" spans="12:13">
      <c r="L1666" s="654">
        <v>69.12</v>
      </c>
      <c r="M1666" s="654" t="s">
        <v>88</v>
      </c>
    </row>
    <row r="1667" spans="12:13">
      <c r="L1667" s="654">
        <v>70.02</v>
      </c>
      <c r="M1667" s="654" t="s">
        <v>88</v>
      </c>
    </row>
    <row r="1668" spans="12:13">
      <c r="L1668" s="654">
        <v>70.05</v>
      </c>
      <c r="M1668" s="654" t="s">
        <v>88</v>
      </c>
    </row>
    <row r="1669" spans="12:13">
      <c r="L1669" s="654">
        <v>70.06</v>
      </c>
      <c r="M1669" s="654" t="s">
        <v>88</v>
      </c>
    </row>
    <row r="1670" spans="12:13">
      <c r="L1670" s="654">
        <v>70.069999999999993</v>
      </c>
      <c r="M1670" s="654" t="s">
        <v>88</v>
      </c>
    </row>
    <row r="1671" spans="12:13">
      <c r="L1671" s="654">
        <v>70.08</v>
      </c>
      <c r="M1671" s="654" t="s">
        <v>88</v>
      </c>
    </row>
    <row r="1672" spans="12:13">
      <c r="L1672" s="654">
        <v>70.09</v>
      </c>
      <c r="M1672" s="654" t="s">
        <v>88</v>
      </c>
    </row>
    <row r="1673" spans="12:13">
      <c r="L1673" s="654">
        <v>70.099999999999994</v>
      </c>
      <c r="M1673" s="654" t="s">
        <v>88</v>
      </c>
    </row>
    <row r="1674" spans="12:13">
      <c r="L1674" s="654">
        <v>70.11</v>
      </c>
      <c r="M1674" s="654" t="s">
        <v>88</v>
      </c>
    </row>
    <row r="1675" spans="12:13">
      <c r="L1675" s="654">
        <v>72.010000000000005</v>
      </c>
      <c r="M1675" s="654" t="s">
        <v>88</v>
      </c>
    </row>
    <row r="1676" spans="12:13">
      <c r="L1676" s="654">
        <v>72.02</v>
      </c>
      <c r="M1676" s="654" t="s">
        <v>88</v>
      </c>
    </row>
    <row r="1677" spans="12:13">
      <c r="L1677" s="654">
        <v>72.03</v>
      </c>
      <c r="M1677" s="654" t="s">
        <v>88</v>
      </c>
    </row>
    <row r="1678" spans="12:13">
      <c r="L1678" s="654">
        <v>73.010000000000005</v>
      </c>
      <c r="M1678" s="654" t="s">
        <v>88</v>
      </c>
    </row>
    <row r="1679" spans="12:13">
      <c r="L1679" s="654">
        <v>74.069999999999993</v>
      </c>
      <c r="M1679" s="654" t="s">
        <v>88</v>
      </c>
    </row>
    <row r="1680" spans="12:13">
      <c r="L1680" s="654">
        <v>74.099999999999994</v>
      </c>
      <c r="M1680" s="654" t="s">
        <v>88</v>
      </c>
    </row>
    <row r="1681" spans="12:13">
      <c r="L1681" s="654">
        <v>74.12</v>
      </c>
      <c r="M1681" s="654" t="s">
        <v>88</v>
      </c>
    </row>
    <row r="1682" spans="12:13">
      <c r="L1682" s="654">
        <v>74.14</v>
      </c>
      <c r="M1682" s="654" t="s">
        <v>88</v>
      </c>
    </row>
    <row r="1683" spans="12:13">
      <c r="L1683" s="654">
        <v>74.16</v>
      </c>
      <c r="M1683" s="654" t="s">
        <v>88</v>
      </c>
    </row>
    <row r="1684" spans="12:13">
      <c r="L1684" s="654">
        <v>74.180000000000007</v>
      </c>
      <c r="M1684" s="654" t="s">
        <v>88</v>
      </c>
    </row>
    <row r="1685" spans="12:13">
      <c r="L1685" s="654">
        <v>74.2</v>
      </c>
      <c r="M1685" s="654" t="s">
        <v>88</v>
      </c>
    </row>
    <row r="1686" spans="12:13">
      <c r="L1686" s="654">
        <v>75.010000000000005</v>
      </c>
      <c r="M1686" s="654" t="s">
        <v>88</v>
      </c>
    </row>
    <row r="1687" spans="12:13">
      <c r="L1687" s="654">
        <v>75.040000000000006</v>
      </c>
      <c r="M1687" s="654" t="s">
        <v>88</v>
      </c>
    </row>
    <row r="1688" spans="12:13">
      <c r="L1688" s="654">
        <v>75.05</v>
      </c>
      <c r="M1688" s="654" t="s">
        <v>88</v>
      </c>
    </row>
    <row r="1689" spans="12:13">
      <c r="L1689" s="654">
        <v>76.03</v>
      </c>
      <c r="M1689" s="654" t="s">
        <v>88</v>
      </c>
    </row>
    <row r="1690" spans="12:13">
      <c r="L1690" s="654">
        <v>76.040000000000006</v>
      </c>
      <c r="M1690" s="654" t="s">
        <v>88</v>
      </c>
    </row>
    <row r="1691" spans="12:13">
      <c r="L1691" s="654">
        <v>76.05</v>
      </c>
      <c r="M1691" s="654" t="s">
        <v>88</v>
      </c>
    </row>
    <row r="1692" spans="12:13">
      <c r="L1692" s="654">
        <v>76.069999999999993</v>
      </c>
      <c r="M1692" s="654" t="s">
        <v>88</v>
      </c>
    </row>
    <row r="1693" spans="12:13">
      <c r="L1693" s="654">
        <v>76.099999999999994</v>
      </c>
      <c r="M1693" s="654" t="s">
        <v>88</v>
      </c>
    </row>
    <row r="1694" spans="12:13">
      <c r="L1694" s="654">
        <v>76.12</v>
      </c>
      <c r="M1694" s="654" t="s">
        <v>88</v>
      </c>
    </row>
    <row r="1695" spans="12:13">
      <c r="L1695" s="654">
        <v>76.13</v>
      </c>
      <c r="M1695" s="654" t="s">
        <v>88</v>
      </c>
    </row>
    <row r="1696" spans="12:13">
      <c r="L1696" s="654">
        <v>76.14</v>
      </c>
      <c r="M1696" s="654" t="s">
        <v>88</v>
      </c>
    </row>
    <row r="1697" spans="12:13">
      <c r="L1697" s="654">
        <v>76.16</v>
      </c>
      <c r="M1697" s="654" t="s">
        <v>88</v>
      </c>
    </row>
    <row r="1698" spans="12:13">
      <c r="L1698" s="654">
        <v>76.17</v>
      </c>
      <c r="M1698" s="654" t="s">
        <v>88</v>
      </c>
    </row>
    <row r="1699" spans="12:13">
      <c r="L1699" s="654">
        <v>76.180000000000007</v>
      </c>
      <c r="M1699" s="654" t="s">
        <v>88</v>
      </c>
    </row>
    <row r="1700" spans="12:13">
      <c r="L1700" s="654">
        <v>77.05</v>
      </c>
      <c r="M1700" s="654" t="s">
        <v>88</v>
      </c>
    </row>
    <row r="1701" spans="12:13">
      <c r="L1701" s="654">
        <v>77.099999999999994</v>
      </c>
      <c r="M1701" s="654" t="s">
        <v>88</v>
      </c>
    </row>
    <row r="1702" spans="12:13">
      <c r="L1702" s="654">
        <v>77.13</v>
      </c>
      <c r="M1702" s="654" t="s">
        <v>88</v>
      </c>
    </row>
    <row r="1703" spans="12:13">
      <c r="L1703" s="654">
        <v>77.209999999999994</v>
      </c>
      <c r="M1703" s="654" t="s">
        <v>88</v>
      </c>
    </row>
    <row r="1704" spans="12:13">
      <c r="L1704" s="654">
        <v>77.23</v>
      </c>
      <c r="M1704" s="654" t="s">
        <v>88</v>
      </c>
    </row>
    <row r="1705" spans="12:13">
      <c r="L1705" s="654">
        <v>77.239999999999995</v>
      </c>
      <c r="M1705" s="654" t="s">
        <v>88</v>
      </c>
    </row>
    <row r="1706" spans="12:13">
      <c r="L1706" s="654">
        <v>77.25</v>
      </c>
      <c r="M1706" s="654" t="s">
        <v>88</v>
      </c>
    </row>
    <row r="1707" spans="12:13">
      <c r="L1707" s="654">
        <v>77.3</v>
      </c>
      <c r="M1707" s="654" t="s">
        <v>88</v>
      </c>
    </row>
    <row r="1708" spans="12:13">
      <c r="L1708" s="654">
        <v>77.31</v>
      </c>
      <c r="M1708" s="654" t="s">
        <v>88</v>
      </c>
    </row>
    <row r="1709" spans="12:13">
      <c r="L1709" s="654">
        <v>77.33</v>
      </c>
      <c r="M1709" s="654" t="s">
        <v>88</v>
      </c>
    </row>
    <row r="1710" spans="12:13">
      <c r="L1710" s="654">
        <v>77.34</v>
      </c>
      <c r="M1710" s="654" t="s">
        <v>88</v>
      </c>
    </row>
    <row r="1711" spans="12:13">
      <c r="L1711" s="654">
        <v>77.349999999999994</v>
      </c>
      <c r="M1711" s="654" t="s">
        <v>88</v>
      </c>
    </row>
    <row r="1712" spans="12:13">
      <c r="L1712" s="654">
        <v>77.36</v>
      </c>
      <c r="M1712" s="654" t="s">
        <v>88</v>
      </c>
    </row>
    <row r="1713" spans="12:13">
      <c r="L1713" s="654">
        <v>77.400000000000006</v>
      </c>
      <c r="M1713" s="654" t="s">
        <v>88</v>
      </c>
    </row>
    <row r="1714" spans="12:13">
      <c r="L1714" s="654">
        <v>77.430000000000007</v>
      </c>
      <c r="M1714" s="654" t="s">
        <v>88</v>
      </c>
    </row>
    <row r="1715" spans="12:13">
      <c r="L1715" s="654">
        <v>77.48</v>
      </c>
      <c r="M1715" s="654" t="s">
        <v>88</v>
      </c>
    </row>
    <row r="1716" spans="12:13">
      <c r="L1716" s="654">
        <v>77.489999999999995</v>
      </c>
      <c r="M1716" s="654" t="s">
        <v>88</v>
      </c>
    </row>
    <row r="1717" spans="12:13">
      <c r="L1717" s="654">
        <v>77.510000000000005</v>
      </c>
      <c r="M1717" s="654" t="s">
        <v>88</v>
      </c>
    </row>
    <row r="1718" spans="12:13">
      <c r="L1718" s="654">
        <v>77.52</v>
      </c>
      <c r="M1718" s="654" t="s">
        <v>88</v>
      </c>
    </row>
    <row r="1719" spans="12:13">
      <c r="L1719" s="654">
        <v>77.53</v>
      </c>
      <c r="M1719" s="654" t="s">
        <v>88</v>
      </c>
    </row>
    <row r="1720" spans="12:13">
      <c r="L1720" s="654">
        <v>77.540000000000006</v>
      </c>
      <c r="M1720" s="654" t="s">
        <v>88</v>
      </c>
    </row>
    <row r="1721" spans="12:13">
      <c r="L1721" s="654">
        <v>77.56</v>
      </c>
      <c r="M1721" s="654" t="s">
        <v>88</v>
      </c>
    </row>
    <row r="1722" spans="12:13">
      <c r="L1722" s="654">
        <v>77.569999999999993</v>
      </c>
      <c r="M1722" s="654" t="s">
        <v>88</v>
      </c>
    </row>
    <row r="1723" spans="12:13">
      <c r="L1723" s="654">
        <v>77.58</v>
      </c>
      <c r="M1723" s="654" t="s">
        <v>88</v>
      </c>
    </row>
    <row r="1724" spans="12:13">
      <c r="L1724" s="654">
        <v>77.59</v>
      </c>
      <c r="M1724" s="654" t="s">
        <v>88</v>
      </c>
    </row>
    <row r="1725" spans="12:13">
      <c r="L1725" s="654">
        <v>77.599999999999994</v>
      </c>
      <c r="M1725" s="654" t="s">
        <v>88</v>
      </c>
    </row>
    <row r="1726" spans="12:13">
      <c r="L1726" s="654">
        <v>77.62</v>
      </c>
      <c r="M1726" s="654" t="s">
        <v>88</v>
      </c>
    </row>
    <row r="1727" spans="12:13">
      <c r="L1727" s="654">
        <v>77.63</v>
      </c>
      <c r="M1727" s="654" t="s">
        <v>88</v>
      </c>
    </row>
    <row r="1728" spans="12:13">
      <c r="L1728" s="654">
        <v>77.64</v>
      </c>
      <c r="M1728" s="654" t="s">
        <v>88</v>
      </c>
    </row>
    <row r="1729" spans="12:13">
      <c r="L1729" s="654">
        <v>77.650000000000006</v>
      </c>
      <c r="M1729" s="654" t="s">
        <v>88</v>
      </c>
    </row>
    <row r="1730" spans="12:13">
      <c r="L1730" s="654">
        <v>78.05</v>
      </c>
      <c r="M1730" s="654" t="s">
        <v>88</v>
      </c>
    </row>
    <row r="1731" spans="12:13">
      <c r="L1731" s="654">
        <v>78.08</v>
      </c>
      <c r="M1731" s="654" t="s">
        <v>88</v>
      </c>
    </row>
    <row r="1732" spans="12:13">
      <c r="L1732" s="654">
        <v>78.12</v>
      </c>
      <c r="M1732" s="654" t="s">
        <v>88</v>
      </c>
    </row>
    <row r="1733" spans="12:13">
      <c r="L1733" s="654">
        <v>78.13</v>
      </c>
      <c r="M1733" s="654" t="s">
        <v>88</v>
      </c>
    </row>
    <row r="1734" spans="12:13">
      <c r="L1734" s="654">
        <v>78.14</v>
      </c>
      <c r="M1734" s="654" t="s">
        <v>88</v>
      </c>
    </row>
    <row r="1735" spans="12:13">
      <c r="L1735" s="654">
        <v>78.17</v>
      </c>
      <c r="M1735" s="654" t="s">
        <v>88</v>
      </c>
    </row>
    <row r="1736" spans="12:13">
      <c r="L1736" s="654">
        <v>78.180000000000007</v>
      </c>
      <c r="M1736" s="654" t="s">
        <v>88</v>
      </c>
    </row>
    <row r="1737" spans="12:13">
      <c r="L1737" s="654">
        <v>78.2</v>
      </c>
      <c r="M1737" s="654" t="s">
        <v>88</v>
      </c>
    </row>
    <row r="1738" spans="12:13">
      <c r="L1738" s="654">
        <v>78.209999999999994</v>
      </c>
      <c r="M1738" s="654" t="s">
        <v>88</v>
      </c>
    </row>
    <row r="1739" spans="12:13">
      <c r="L1739" s="654">
        <v>78.22</v>
      </c>
      <c r="M1739" s="654" t="s">
        <v>88</v>
      </c>
    </row>
    <row r="1740" spans="12:13">
      <c r="L1740" s="654">
        <v>78.23</v>
      </c>
      <c r="M1740" s="654" t="s">
        <v>88</v>
      </c>
    </row>
    <row r="1741" spans="12:13">
      <c r="L1741" s="654">
        <v>78.28</v>
      </c>
      <c r="M1741" s="654" t="s">
        <v>88</v>
      </c>
    </row>
    <row r="1742" spans="12:13">
      <c r="L1742" s="654">
        <v>78.3</v>
      </c>
      <c r="M1742" s="654" t="s">
        <v>88</v>
      </c>
    </row>
    <row r="1743" spans="12:13">
      <c r="L1743" s="654">
        <v>78.31</v>
      </c>
      <c r="M1743" s="654" t="s">
        <v>88</v>
      </c>
    </row>
    <row r="1744" spans="12:13">
      <c r="L1744" s="654">
        <v>78.34</v>
      </c>
      <c r="M1744" s="654" t="s">
        <v>88</v>
      </c>
    </row>
    <row r="1745" spans="12:13">
      <c r="L1745" s="654">
        <v>78.349999999999994</v>
      </c>
      <c r="M1745" s="654" t="s">
        <v>88</v>
      </c>
    </row>
    <row r="1746" spans="12:13">
      <c r="L1746" s="654">
        <v>78.36</v>
      </c>
      <c r="M1746" s="654" t="s">
        <v>88</v>
      </c>
    </row>
    <row r="1747" spans="12:13">
      <c r="L1747" s="654">
        <v>78.37</v>
      </c>
      <c r="M1747" s="654" t="s">
        <v>88</v>
      </c>
    </row>
    <row r="1748" spans="12:13">
      <c r="L1748" s="654">
        <v>78.38</v>
      </c>
      <c r="M1748" s="654" t="s">
        <v>88</v>
      </c>
    </row>
    <row r="1749" spans="12:13">
      <c r="L1749" s="654">
        <v>78.39</v>
      </c>
      <c r="M1749" s="654" t="s">
        <v>88</v>
      </c>
    </row>
    <row r="1750" spans="12:13">
      <c r="L1750" s="654">
        <v>79.09</v>
      </c>
      <c r="M1750" s="654" t="s">
        <v>88</v>
      </c>
    </row>
    <row r="1751" spans="12:13">
      <c r="L1751" s="654">
        <v>79.099999999999994</v>
      </c>
      <c r="M1751" s="654" t="s">
        <v>88</v>
      </c>
    </row>
    <row r="1752" spans="12:13">
      <c r="L1752" s="654">
        <v>79.12</v>
      </c>
      <c r="M1752" s="654" t="s">
        <v>88</v>
      </c>
    </row>
    <row r="1753" spans="12:13">
      <c r="L1753" s="654">
        <v>301.01</v>
      </c>
      <c r="M1753" s="654" t="s">
        <v>89</v>
      </c>
    </row>
    <row r="1754" spans="12:13">
      <c r="L1754" s="654">
        <v>302.02</v>
      </c>
      <c r="M1754" s="654" t="s">
        <v>89</v>
      </c>
    </row>
    <row r="1755" spans="12:13">
      <c r="L1755" s="654">
        <v>302.04000000000002</v>
      </c>
      <c r="M1755" s="654" t="s">
        <v>89</v>
      </c>
    </row>
    <row r="1756" spans="12:13">
      <c r="L1756" s="654">
        <v>302.05</v>
      </c>
      <c r="M1756" s="654" t="s">
        <v>89</v>
      </c>
    </row>
    <row r="1757" spans="12:13">
      <c r="L1757" s="654">
        <v>303.01</v>
      </c>
      <c r="M1757" s="654" t="s">
        <v>89</v>
      </c>
    </row>
    <row r="1758" spans="12:13">
      <c r="L1758" s="654">
        <v>303.02999999999997</v>
      </c>
      <c r="M1758" s="654" t="s">
        <v>89</v>
      </c>
    </row>
    <row r="1759" spans="12:13">
      <c r="L1759" s="654">
        <v>304.04000000000002</v>
      </c>
      <c r="M1759" s="654" t="s">
        <v>89</v>
      </c>
    </row>
    <row r="1760" spans="12:13">
      <c r="L1760" s="654">
        <v>304.08999999999997</v>
      </c>
      <c r="M1760" s="654" t="s">
        <v>89</v>
      </c>
    </row>
    <row r="1761" spans="12:13">
      <c r="L1761" s="654">
        <v>309.02999999999997</v>
      </c>
      <c r="M1761" s="654" t="s">
        <v>89</v>
      </c>
    </row>
    <row r="1762" spans="12:13">
      <c r="L1762" s="654">
        <v>309.05</v>
      </c>
      <c r="M1762" s="654" t="s">
        <v>89</v>
      </c>
    </row>
    <row r="1763" spans="12:13">
      <c r="L1763" s="654">
        <v>310.12</v>
      </c>
      <c r="M1763" s="654" t="s">
        <v>89</v>
      </c>
    </row>
    <row r="1764" spans="12:13">
      <c r="L1764" s="654">
        <v>310.13</v>
      </c>
      <c r="M1764" s="654" t="s">
        <v>89</v>
      </c>
    </row>
    <row r="1765" spans="12:13">
      <c r="L1765" s="654">
        <v>312.05</v>
      </c>
      <c r="M1765" s="654" t="s">
        <v>89</v>
      </c>
    </row>
    <row r="1766" spans="12:13">
      <c r="L1766" s="654">
        <v>312.08</v>
      </c>
      <c r="M1766" s="654" t="s">
        <v>89</v>
      </c>
    </row>
    <row r="1767" spans="12:13">
      <c r="L1767" s="654">
        <v>313.01</v>
      </c>
      <c r="M1767" s="654" t="s">
        <v>89</v>
      </c>
    </row>
    <row r="1768" spans="12:13">
      <c r="L1768" s="654">
        <v>313.02</v>
      </c>
      <c r="M1768" s="654" t="s">
        <v>89</v>
      </c>
    </row>
    <row r="1769" spans="12:13">
      <c r="L1769" s="654">
        <v>314.08999999999997</v>
      </c>
      <c r="M1769" s="654" t="s">
        <v>89</v>
      </c>
    </row>
    <row r="1770" spans="12:13">
      <c r="L1770" s="654">
        <v>315.02999999999997</v>
      </c>
      <c r="M1770" s="654" t="s">
        <v>89</v>
      </c>
    </row>
    <row r="1771" spans="12:13">
      <c r="L1771" s="654">
        <v>315.04000000000002</v>
      </c>
      <c r="M1771" s="654" t="s">
        <v>89</v>
      </c>
    </row>
    <row r="1772" spans="12:13">
      <c r="L1772" s="654">
        <v>315.05</v>
      </c>
      <c r="M1772" s="654" t="s">
        <v>89</v>
      </c>
    </row>
    <row r="1773" spans="12:13">
      <c r="L1773" s="654">
        <v>315.06</v>
      </c>
      <c r="M1773" s="654" t="s">
        <v>89</v>
      </c>
    </row>
    <row r="1774" spans="12:13">
      <c r="L1774" s="654">
        <v>315.07</v>
      </c>
      <c r="M1774" s="654" t="s">
        <v>89</v>
      </c>
    </row>
    <row r="1775" spans="12:13">
      <c r="L1775" s="654">
        <v>315.08</v>
      </c>
      <c r="M1775" s="654" t="s">
        <v>89</v>
      </c>
    </row>
    <row r="1776" spans="12:13">
      <c r="L1776" s="654">
        <v>316.01</v>
      </c>
      <c r="M1776" s="654" t="s">
        <v>89</v>
      </c>
    </row>
    <row r="1777" spans="12:13">
      <c r="L1777" s="654">
        <v>316.02</v>
      </c>
      <c r="M1777" s="654" t="s">
        <v>89</v>
      </c>
    </row>
    <row r="1778" spans="12:13">
      <c r="L1778" s="654">
        <v>316.02999999999997</v>
      </c>
      <c r="M1778" s="654" t="s">
        <v>89</v>
      </c>
    </row>
    <row r="1779" spans="12:13">
      <c r="L1779" s="654">
        <v>316.04000000000002</v>
      </c>
      <c r="M1779" s="654" t="s">
        <v>89</v>
      </c>
    </row>
    <row r="1780" spans="12:13">
      <c r="L1780" s="654">
        <v>316.05</v>
      </c>
      <c r="M1780" s="654" t="s">
        <v>89</v>
      </c>
    </row>
    <row r="1781" spans="12:13">
      <c r="L1781" s="654">
        <v>317.01</v>
      </c>
      <c r="M1781" s="654" t="s">
        <v>89</v>
      </c>
    </row>
    <row r="1782" spans="12:13">
      <c r="L1782" s="654">
        <v>317.04000000000002</v>
      </c>
      <c r="M1782" s="654" t="s">
        <v>89</v>
      </c>
    </row>
    <row r="1783" spans="12:13">
      <c r="L1783" s="654">
        <v>317.05</v>
      </c>
      <c r="M1783" s="654" t="s">
        <v>89</v>
      </c>
    </row>
    <row r="1784" spans="12:13">
      <c r="L1784" s="654">
        <v>317.06</v>
      </c>
      <c r="M1784" s="654" t="s">
        <v>89</v>
      </c>
    </row>
    <row r="1785" spans="12:13">
      <c r="L1785" s="654">
        <v>317.07</v>
      </c>
      <c r="M1785" s="654" t="s">
        <v>89</v>
      </c>
    </row>
    <row r="1786" spans="12:13">
      <c r="L1786" s="654">
        <v>317.08</v>
      </c>
      <c r="M1786" s="654" t="s">
        <v>89</v>
      </c>
    </row>
    <row r="1787" spans="12:13">
      <c r="L1787" s="654">
        <v>318.04000000000002</v>
      </c>
      <c r="M1787" s="654" t="s">
        <v>89</v>
      </c>
    </row>
    <row r="1788" spans="12:13">
      <c r="L1788" s="654">
        <v>318.05</v>
      </c>
      <c r="M1788" s="654" t="s">
        <v>89</v>
      </c>
    </row>
    <row r="1789" spans="12:13">
      <c r="L1789" s="654">
        <v>318.08</v>
      </c>
      <c r="M1789" s="654" t="s">
        <v>89</v>
      </c>
    </row>
    <row r="1790" spans="12:13">
      <c r="L1790" s="654">
        <v>319.01</v>
      </c>
      <c r="M1790" s="654" t="s">
        <v>89</v>
      </c>
    </row>
    <row r="1791" spans="12:13">
      <c r="L1791" s="654">
        <v>319.02</v>
      </c>
      <c r="M1791" s="654" t="s">
        <v>89</v>
      </c>
    </row>
    <row r="1792" spans="12:13">
      <c r="L1792" s="654">
        <v>319.02999999999997</v>
      </c>
      <c r="M1792" s="654" t="s">
        <v>89</v>
      </c>
    </row>
    <row r="1793" spans="12:13">
      <c r="L1793" s="654">
        <v>320.01</v>
      </c>
      <c r="M1793" s="654" t="s">
        <v>89</v>
      </c>
    </row>
    <row r="1794" spans="12:13">
      <c r="L1794" s="654">
        <v>320.05</v>
      </c>
      <c r="M1794" s="654" t="s">
        <v>89</v>
      </c>
    </row>
    <row r="1795" spans="12:13">
      <c r="L1795" s="654">
        <v>320.06</v>
      </c>
      <c r="M1795" s="654" t="s">
        <v>89</v>
      </c>
    </row>
    <row r="1796" spans="12:13">
      <c r="L1796" s="654">
        <v>320.07</v>
      </c>
      <c r="M1796" s="654" t="s">
        <v>89</v>
      </c>
    </row>
    <row r="1797" spans="12:13">
      <c r="L1797" s="654">
        <v>320.08</v>
      </c>
      <c r="M1797" s="654" t="s">
        <v>89</v>
      </c>
    </row>
    <row r="1798" spans="12:13">
      <c r="L1798" s="654">
        <v>320.08999999999997</v>
      </c>
      <c r="M1798" s="654" t="s">
        <v>89</v>
      </c>
    </row>
    <row r="1799" spans="12:13">
      <c r="L1799" s="654">
        <v>320.10000000000002</v>
      </c>
      <c r="M1799" s="654" t="s">
        <v>89</v>
      </c>
    </row>
    <row r="1800" spans="12:13">
      <c r="L1800" s="654">
        <v>320.11</v>
      </c>
      <c r="M1800" s="654" t="s">
        <v>89</v>
      </c>
    </row>
    <row r="1801" spans="12:13">
      <c r="L1801" s="654">
        <v>320.12</v>
      </c>
      <c r="M1801" s="654" t="s">
        <v>89</v>
      </c>
    </row>
    <row r="1802" spans="12:13">
      <c r="L1802" s="654">
        <v>320.13</v>
      </c>
      <c r="M1802" s="654" t="s">
        <v>89</v>
      </c>
    </row>
    <row r="1803" spans="12:13">
      <c r="L1803" s="654">
        <v>320.14</v>
      </c>
      <c r="M1803" s="654" t="s">
        <v>89</v>
      </c>
    </row>
    <row r="1804" spans="12:13">
      <c r="L1804" s="654">
        <v>321.02999999999997</v>
      </c>
      <c r="M1804" s="654" t="s">
        <v>89</v>
      </c>
    </row>
    <row r="1805" spans="12:13">
      <c r="L1805" s="654">
        <v>321.04000000000002</v>
      </c>
      <c r="M1805" s="654" t="s">
        <v>89</v>
      </c>
    </row>
    <row r="1806" spans="12:13">
      <c r="L1806" s="654">
        <v>321.05</v>
      </c>
      <c r="M1806" s="654" t="s">
        <v>89</v>
      </c>
    </row>
    <row r="1807" spans="12:13">
      <c r="L1807" s="654">
        <v>321.06</v>
      </c>
      <c r="M1807" s="654" t="s">
        <v>89</v>
      </c>
    </row>
    <row r="1808" spans="12:13">
      <c r="L1808" s="654">
        <v>321.07</v>
      </c>
      <c r="M1808" s="654" t="s">
        <v>89</v>
      </c>
    </row>
    <row r="1809" spans="12:13">
      <c r="L1809" s="654">
        <v>321.08</v>
      </c>
      <c r="M1809" s="654" t="s">
        <v>89</v>
      </c>
    </row>
    <row r="1810" spans="12:13">
      <c r="L1810" s="654">
        <v>321.08999999999997</v>
      </c>
      <c r="M1810" s="654" t="s">
        <v>89</v>
      </c>
    </row>
    <row r="1811" spans="12:13">
      <c r="L1811" s="654">
        <v>321.10000000000002</v>
      </c>
      <c r="M1811" s="654" t="s">
        <v>89</v>
      </c>
    </row>
    <row r="1812" spans="12:13">
      <c r="L1812" s="654">
        <v>321.11</v>
      </c>
      <c r="M1812" s="654" t="s">
        <v>89</v>
      </c>
    </row>
    <row r="1813" spans="12:13">
      <c r="L1813" s="654">
        <v>321.12</v>
      </c>
      <c r="M1813" s="654" t="s">
        <v>89</v>
      </c>
    </row>
    <row r="1814" spans="12:13">
      <c r="L1814" s="654">
        <v>321.13</v>
      </c>
      <c r="M1814" s="654" t="s">
        <v>89</v>
      </c>
    </row>
    <row r="1815" spans="12:13">
      <c r="L1815" s="654">
        <v>322</v>
      </c>
      <c r="M1815" s="654" t="s">
        <v>89</v>
      </c>
    </row>
    <row r="1816" spans="12:13">
      <c r="L1816" s="654">
        <v>323</v>
      </c>
      <c r="M1816" s="654" t="s">
        <v>89</v>
      </c>
    </row>
    <row r="1817" spans="12:13">
      <c r="L1817" s="654">
        <v>324.01</v>
      </c>
      <c r="M1817" s="654" t="s">
        <v>89</v>
      </c>
    </row>
    <row r="1818" spans="12:13">
      <c r="L1818" s="654">
        <v>325</v>
      </c>
      <c r="M1818" s="654" t="s">
        <v>89</v>
      </c>
    </row>
    <row r="1819" spans="12:13">
      <c r="L1819" s="654">
        <v>326.02</v>
      </c>
      <c r="M1819" s="654" t="s">
        <v>89</v>
      </c>
    </row>
    <row r="1820" spans="12:13">
      <c r="L1820" s="654">
        <v>328.01</v>
      </c>
      <c r="M1820" s="654" t="s">
        <v>89</v>
      </c>
    </row>
    <row r="1821" spans="12:13">
      <c r="L1821" s="654">
        <v>328.03</v>
      </c>
      <c r="M1821" s="654" t="s">
        <v>89</v>
      </c>
    </row>
    <row r="1822" spans="12:13">
      <c r="L1822" s="654">
        <v>329.02</v>
      </c>
      <c r="M1822" s="654" t="s">
        <v>89</v>
      </c>
    </row>
    <row r="1823" spans="12:13">
      <c r="L1823" s="654">
        <v>330.05</v>
      </c>
      <c r="M1823" s="654" t="s">
        <v>89</v>
      </c>
    </row>
    <row r="1824" spans="12:13">
      <c r="L1824" s="654">
        <v>201.05</v>
      </c>
      <c r="M1824" s="654" t="s">
        <v>90</v>
      </c>
    </row>
    <row r="1825" spans="12:13">
      <c r="L1825" s="654">
        <v>201.06</v>
      </c>
      <c r="M1825" s="654" t="s">
        <v>90</v>
      </c>
    </row>
    <row r="1826" spans="12:13">
      <c r="L1826" s="654">
        <v>201.07</v>
      </c>
      <c r="M1826" s="654" t="s">
        <v>90</v>
      </c>
    </row>
    <row r="1827" spans="12:13">
      <c r="L1827" s="654">
        <v>201.08</v>
      </c>
      <c r="M1827" s="654" t="s">
        <v>90</v>
      </c>
    </row>
    <row r="1828" spans="12:13">
      <c r="L1828" s="654">
        <v>202.01</v>
      </c>
      <c r="M1828" s="654" t="s">
        <v>90</v>
      </c>
    </row>
    <row r="1829" spans="12:13">
      <c r="L1829" s="654">
        <v>202.02</v>
      </c>
      <c r="M1829" s="654" t="s">
        <v>90</v>
      </c>
    </row>
    <row r="1830" spans="12:13">
      <c r="L1830" s="654">
        <v>202.06</v>
      </c>
      <c r="M1830" s="654" t="s">
        <v>90</v>
      </c>
    </row>
    <row r="1831" spans="12:13">
      <c r="L1831" s="654">
        <v>202.07</v>
      </c>
      <c r="M1831" s="654" t="s">
        <v>90</v>
      </c>
    </row>
    <row r="1832" spans="12:13">
      <c r="L1832" s="654">
        <v>202.08</v>
      </c>
      <c r="M1832" s="654" t="s">
        <v>90</v>
      </c>
    </row>
    <row r="1833" spans="12:13">
      <c r="L1833" s="654">
        <v>202.09</v>
      </c>
      <c r="M1833" s="654" t="s">
        <v>90</v>
      </c>
    </row>
    <row r="1834" spans="12:13">
      <c r="L1834" s="654">
        <v>203.01</v>
      </c>
      <c r="M1834" s="654" t="s">
        <v>90</v>
      </c>
    </row>
    <row r="1835" spans="12:13">
      <c r="L1835" s="654">
        <v>203.02</v>
      </c>
      <c r="M1835" s="654" t="s">
        <v>90</v>
      </c>
    </row>
    <row r="1836" spans="12:13">
      <c r="L1836" s="654">
        <v>204</v>
      </c>
      <c r="M1836" s="654" t="s">
        <v>90</v>
      </c>
    </row>
    <row r="1837" spans="12:13">
      <c r="L1837" s="654">
        <v>219</v>
      </c>
      <c r="M1837" s="654" t="s">
        <v>90</v>
      </c>
    </row>
    <row r="1838" spans="12:13">
      <c r="L1838" s="654">
        <v>221</v>
      </c>
      <c r="M1838" s="654" t="s">
        <v>90</v>
      </c>
    </row>
    <row r="1839" spans="12:13">
      <c r="L1839" s="654">
        <v>222</v>
      </c>
      <c r="M1839" s="654" t="s">
        <v>90</v>
      </c>
    </row>
    <row r="1840" spans="12:13">
      <c r="L1840" s="654">
        <v>223.02</v>
      </c>
      <c r="M1840" s="654" t="s">
        <v>90</v>
      </c>
    </row>
    <row r="1841" spans="12:13">
      <c r="L1841" s="654">
        <v>224.01</v>
      </c>
      <c r="M1841" s="654" t="s">
        <v>90</v>
      </c>
    </row>
    <row r="1842" spans="12:13">
      <c r="L1842" s="654">
        <v>224.02</v>
      </c>
      <c r="M1842" s="654" t="s">
        <v>90</v>
      </c>
    </row>
    <row r="1843" spans="12:13">
      <c r="L1843" s="654">
        <v>225.01</v>
      </c>
      <c r="M1843" s="654" t="s">
        <v>90</v>
      </c>
    </row>
    <row r="1844" spans="12:13">
      <c r="L1844" s="654">
        <v>225.03</v>
      </c>
      <c r="M1844" s="654" t="s">
        <v>90</v>
      </c>
    </row>
    <row r="1845" spans="12:13">
      <c r="L1845" s="654">
        <v>226.01</v>
      </c>
      <c r="M1845" s="654" t="s">
        <v>90</v>
      </c>
    </row>
    <row r="1846" spans="12:13">
      <c r="L1846" s="654">
        <v>226.02</v>
      </c>
      <c r="M1846" s="654" t="s">
        <v>90</v>
      </c>
    </row>
    <row r="1847" spans="12:13">
      <c r="L1847" s="654">
        <v>227</v>
      </c>
      <c r="M1847" s="654" t="s">
        <v>90</v>
      </c>
    </row>
    <row r="1848" spans="12:13">
      <c r="L1848" s="654">
        <v>228.01</v>
      </c>
      <c r="M1848" s="654" t="s">
        <v>90</v>
      </c>
    </row>
    <row r="1849" spans="12:13">
      <c r="L1849" s="654">
        <v>228.02</v>
      </c>
      <c r="M1849" s="654" t="s">
        <v>90</v>
      </c>
    </row>
    <row r="1850" spans="12:13">
      <c r="L1850" s="654">
        <v>229.01</v>
      </c>
      <c r="M1850" s="654" t="s">
        <v>90</v>
      </c>
    </row>
    <row r="1851" spans="12:13">
      <c r="L1851" s="654">
        <v>232</v>
      </c>
      <c r="M1851" s="654" t="s">
        <v>90</v>
      </c>
    </row>
    <row r="1852" spans="12:13">
      <c r="L1852" s="654">
        <v>233</v>
      </c>
      <c r="M1852" s="654" t="s">
        <v>90</v>
      </c>
    </row>
    <row r="1853" spans="12:13">
      <c r="L1853" s="654">
        <v>235</v>
      </c>
      <c r="M1853" s="654" t="s">
        <v>90</v>
      </c>
    </row>
    <row r="1854" spans="12:13">
      <c r="L1854" s="654">
        <v>236</v>
      </c>
      <c r="M1854" s="654" t="s">
        <v>90</v>
      </c>
    </row>
    <row r="1855" spans="12:13">
      <c r="L1855" s="654">
        <v>237</v>
      </c>
      <c r="M1855" s="654" t="s">
        <v>90</v>
      </c>
    </row>
    <row r="1856" spans="12:13">
      <c r="L1856" s="654">
        <v>238</v>
      </c>
      <c r="M1856" s="654" t="s">
        <v>90</v>
      </c>
    </row>
    <row r="1857" spans="12:13">
      <c r="L1857" s="654">
        <v>239</v>
      </c>
      <c r="M1857" s="654" t="s">
        <v>90</v>
      </c>
    </row>
    <row r="1858" spans="12:13">
      <c r="L1858" s="654">
        <v>240.01</v>
      </c>
      <c r="M1858" s="654" t="s">
        <v>90</v>
      </c>
    </row>
    <row r="1859" spans="12:13">
      <c r="L1859" s="654">
        <v>240.02</v>
      </c>
      <c r="M1859" s="654" t="s">
        <v>90</v>
      </c>
    </row>
    <row r="1860" spans="12:13">
      <c r="L1860" s="654">
        <v>240.04</v>
      </c>
      <c r="M1860" s="654" t="s">
        <v>90</v>
      </c>
    </row>
    <row r="1861" spans="12:13">
      <c r="L1861" s="654">
        <v>240.05</v>
      </c>
      <c r="M1861" s="654" t="s">
        <v>90</v>
      </c>
    </row>
    <row r="1862" spans="12:13">
      <c r="L1862" s="654">
        <v>241</v>
      </c>
      <c r="M1862" s="654" t="s">
        <v>90</v>
      </c>
    </row>
    <row r="1863" spans="12:13">
      <c r="L1863" s="654">
        <v>243.01</v>
      </c>
      <c r="M1863" s="654" t="s">
        <v>90</v>
      </c>
    </row>
    <row r="1864" spans="12:13">
      <c r="L1864" s="654">
        <v>243.02</v>
      </c>
      <c r="M1864" s="654" t="s">
        <v>90</v>
      </c>
    </row>
    <row r="1865" spans="12:13">
      <c r="L1865" s="654">
        <v>244.06</v>
      </c>
      <c r="M1865" s="654" t="s">
        <v>90</v>
      </c>
    </row>
    <row r="1866" spans="12:13">
      <c r="L1866" s="654">
        <v>244.09</v>
      </c>
      <c r="M1866" s="654" t="s">
        <v>90</v>
      </c>
    </row>
    <row r="1867" spans="12:13">
      <c r="L1867" s="654">
        <v>244.11</v>
      </c>
      <c r="M1867" s="654" t="s">
        <v>90</v>
      </c>
    </row>
    <row r="1868" spans="12:13">
      <c r="L1868" s="654">
        <v>244.12</v>
      </c>
      <c r="M1868" s="654" t="s">
        <v>90</v>
      </c>
    </row>
    <row r="1869" spans="12:13">
      <c r="L1869" s="654">
        <v>245.05</v>
      </c>
      <c r="M1869" s="654" t="s">
        <v>90</v>
      </c>
    </row>
    <row r="1870" spans="12:13">
      <c r="L1870" s="654">
        <v>245.07</v>
      </c>
      <c r="M1870" s="654" t="s">
        <v>90</v>
      </c>
    </row>
    <row r="1871" spans="12:13">
      <c r="L1871" s="654">
        <v>245.08</v>
      </c>
      <c r="M1871" s="654" t="s">
        <v>90</v>
      </c>
    </row>
    <row r="1872" spans="12:13">
      <c r="L1872" s="654">
        <v>245.09</v>
      </c>
      <c r="M1872" s="654" t="s">
        <v>90</v>
      </c>
    </row>
    <row r="1873" spans="12:13">
      <c r="L1873" s="654">
        <v>245.11</v>
      </c>
      <c r="M1873" s="654" t="s">
        <v>90</v>
      </c>
    </row>
    <row r="1874" spans="12:13">
      <c r="L1874" s="654">
        <v>248.01</v>
      </c>
      <c r="M1874" s="654" t="s">
        <v>90</v>
      </c>
    </row>
    <row r="1875" spans="12:13">
      <c r="L1875" s="654">
        <v>248.05</v>
      </c>
      <c r="M1875" s="654" t="s">
        <v>90</v>
      </c>
    </row>
    <row r="1876" spans="12:13">
      <c r="L1876" s="654">
        <v>249.04</v>
      </c>
      <c r="M1876" s="654" t="s">
        <v>90</v>
      </c>
    </row>
    <row r="1877" spans="12:13">
      <c r="L1877" s="654">
        <v>249.05</v>
      </c>
      <c r="M1877" s="654" t="s">
        <v>90</v>
      </c>
    </row>
    <row r="1878" spans="12:13">
      <c r="L1878" s="654">
        <v>250.1</v>
      </c>
      <c r="M1878" s="654" t="s">
        <v>90</v>
      </c>
    </row>
    <row r="1879" spans="12:13">
      <c r="L1879" s="654">
        <v>250.11</v>
      </c>
      <c r="M1879" s="654" t="s">
        <v>90</v>
      </c>
    </row>
    <row r="1880" spans="12:13">
      <c r="L1880" s="654">
        <v>250.12</v>
      </c>
      <c r="M1880" s="654" t="s">
        <v>90</v>
      </c>
    </row>
    <row r="1881" spans="12:13">
      <c r="L1881" s="654">
        <v>250.13</v>
      </c>
      <c r="M1881" s="654" t="s">
        <v>90</v>
      </c>
    </row>
    <row r="1882" spans="12:13">
      <c r="L1882" s="654">
        <v>250.14</v>
      </c>
      <c r="M1882" s="654" t="s">
        <v>90</v>
      </c>
    </row>
    <row r="1883" spans="12:13">
      <c r="L1883" s="654">
        <v>250.16</v>
      </c>
      <c r="M1883" s="654" t="s">
        <v>90</v>
      </c>
    </row>
    <row r="1884" spans="12:13">
      <c r="L1884" s="654">
        <v>251.07</v>
      </c>
      <c r="M1884" s="654" t="s">
        <v>90</v>
      </c>
    </row>
    <row r="1885" spans="12:13">
      <c r="L1885" s="654">
        <v>251.08</v>
      </c>
      <c r="M1885" s="654" t="s">
        <v>90</v>
      </c>
    </row>
    <row r="1886" spans="12:13">
      <c r="L1886" s="654">
        <v>251.1</v>
      </c>
      <c r="M1886" s="654" t="s">
        <v>90</v>
      </c>
    </row>
    <row r="1887" spans="12:13">
      <c r="L1887" s="654">
        <v>251.12</v>
      </c>
      <c r="M1887" s="654" t="s">
        <v>90</v>
      </c>
    </row>
    <row r="1888" spans="12:13">
      <c r="L1888" s="654">
        <v>251.13</v>
      </c>
      <c r="M1888" s="654" t="s">
        <v>90</v>
      </c>
    </row>
    <row r="1889" spans="12:13">
      <c r="L1889" s="654">
        <v>251.16</v>
      </c>
      <c r="M1889" s="654" t="s">
        <v>90</v>
      </c>
    </row>
    <row r="1890" spans="12:13">
      <c r="L1890" s="654">
        <v>251.19</v>
      </c>
      <c r="M1890" s="654" t="s">
        <v>90</v>
      </c>
    </row>
    <row r="1891" spans="12:13">
      <c r="L1891" s="654">
        <v>251.2</v>
      </c>
      <c r="M1891" s="654" t="s">
        <v>90</v>
      </c>
    </row>
    <row r="1892" spans="12:13">
      <c r="L1892" s="654">
        <v>251.21</v>
      </c>
      <c r="M1892" s="654" t="s">
        <v>90</v>
      </c>
    </row>
    <row r="1893" spans="12:13">
      <c r="L1893" s="654">
        <v>251.22</v>
      </c>
      <c r="M1893" s="654" t="s">
        <v>90</v>
      </c>
    </row>
    <row r="1894" spans="12:13">
      <c r="L1894" s="654">
        <v>251.23</v>
      </c>
      <c r="M1894" s="654" t="s">
        <v>90</v>
      </c>
    </row>
    <row r="1895" spans="12:13">
      <c r="L1895" s="654">
        <v>252.03</v>
      </c>
      <c r="M1895" s="654" t="s">
        <v>90</v>
      </c>
    </row>
    <row r="1896" spans="12:13">
      <c r="L1896" s="654">
        <v>252.05</v>
      </c>
      <c r="M1896" s="654" t="s">
        <v>90</v>
      </c>
    </row>
    <row r="1897" spans="12:13">
      <c r="L1897" s="654">
        <v>252.09</v>
      </c>
      <c r="M1897" s="654" t="s">
        <v>90</v>
      </c>
    </row>
    <row r="1898" spans="12:13">
      <c r="L1898" s="654">
        <v>253.06</v>
      </c>
      <c r="M1898" s="654" t="s">
        <v>90</v>
      </c>
    </row>
    <row r="1899" spans="12:13">
      <c r="L1899" s="654">
        <v>254.01</v>
      </c>
      <c r="M1899" s="654" t="s">
        <v>90</v>
      </c>
    </row>
    <row r="1900" spans="12:13">
      <c r="L1900" s="654">
        <v>254.05</v>
      </c>
      <c r="M1900" s="654" t="s">
        <v>90</v>
      </c>
    </row>
    <row r="1901" spans="12:13">
      <c r="L1901" s="654">
        <v>254.07</v>
      </c>
      <c r="M1901" s="654" t="s">
        <v>90</v>
      </c>
    </row>
    <row r="1902" spans="12:13">
      <c r="L1902" s="654">
        <v>254.11</v>
      </c>
      <c r="M1902" s="654" t="s">
        <v>90</v>
      </c>
    </row>
    <row r="1903" spans="12:13">
      <c r="L1903" s="654">
        <v>254.12</v>
      </c>
      <c r="M1903" s="654" t="s">
        <v>90</v>
      </c>
    </row>
    <row r="1904" spans="12:13">
      <c r="L1904" s="654">
        <v>255.01</v>
      </c>
      <c r="M1904" s="654" t="s">
        <v>90</v>
      </c>
    </row>
    <row r="1905" spans="12:13">
      <c r="L1905" s="654">
        <v>255.06</v>
      </c>
      <c r="M1905" s="654" t="s">
        <v>90</v>
      </c>
    </row>
    <row r="1906" spans="12:13">
      <c r="L1906" s="654">
        <v>257</v>
      </c>
      <c r="M1906" s="654" t="s">
        <v>90</v>
      </c>
    </row>
    <row r="1907" spans="12:13">
      <c r="L1907" s="654">
        <v>260.01</v>
      </c>
      <c r="M1907" s="654" t="s">
        <v>90</v>
      </c>
    </row>
    <row r="1908" spans="12:13">
      <c r="L1908" s="654">
        <v>260.02</v>
      </c>
      <c r="M1908" s="654" t="s">
        <v>90</v>
      </c>
    </row>
    <row r="1909" spans="12:13">
      <c r="L1909" s="654">
        <v>266.01</v>
      </c>
      <c r="M1909" s="654" t="s">
        <v>90</v>
      </c>
    </row>
    <row r="1910" spans="12:13">
      <c r="L1910" s="654">
        <v>267.02</v>
      </c>
      <c r="M1910" s="654" t="s">
        <v>90</v>
      </c>
    </row>
    <row r="1911" spans="12:13">
      <c r="L1911" s="654">
        <v>268.04000000000002</v>
      </c>
      <c r="M1911" s="654" t="s">
        <v>90</v>
      </c>
    </row>
    <row r="1912" spans="12:13">
      <c r="L1912" s="654">
        <v>268.08999999999997</v>
      </c>
      <c r="M1912" s="654" t="s">
        <v>90</v>
      </c>
    </row>
    <row r="1913" spans="12:13">
      <c r="L1913" s="654">
        <v>268.11</v>
      </c>
      <c r="M1913" s="654" t="s">
        <v>90</v>
      </c>
    </row>
    <row r="1914" spans="12:13">
      <c r="L1914" s="654">
        <v>268.12</v>
      </c>
      <c r="M1914" s="654" t="s">
        <v>90</v>
      </c>
    </row>
    <row r="1915" spans="12:13">
      <c r="L1915" s="654">
        <v>268.13</v>
      </c>
      <c r="M1915" s="654" t="s">
        <v>90</v>
      </c>
    </row>
    <row r="1916" spans="12:13">
      <c r="L1916" s="654">
        <v>268.14999999999998</v>
      </c>
      <c r="M1916" s="654" t="s">
        <v>90</v>
      </c>
    </row>
    <row r="1917" spans="12:13">
      <c r="L1917" s="654">
        <v>268.16000000000003</v>
      </c>
      <c r="M1917" s="654" t="s">
        <v>90</v>
      </c>
    </row>
    <row r="1918" spans="12:13">
      <c r="L1918" s="654">
        <v>268.17</v>
      </c>
      <c r="M1918" s="654" t="s">
        <v>90</v>
      </c>
    </row>
    <row r="1919" spans="12:13">
      <c r="L1919" s="654">
        <v>268.20999999999998</v>
      </c>
      <c r="M1919" s="654" t="s">
        <v>90</v>
      </c>
    </row>
    <row r="1920" spans="12:13">
      <c r="L1920" s="654">
        <v>269.07</v>
      </c>
      <c r="M1920" s="654" t="s">
        <v>90</v>
      </c>
    </row>
    <row r="1921" spans="12:13">
      <c r="L1921" s="654">
        <v>269.08</v>
      </c>
      <c r="M1921" s="654" t="s">
        <v>90</v>
      </c>
    </row>
    <row r="1922" spans="12:13">
      <c r="L1922" s="654">
        <v>269.10000000000002</v>
      </c>
      <c r="M1922" s="654" t="s">
        <v>90</v>
      </c>
    </row>
    <row r="1923" spans="12:13">
      <c r="L1923" s="654">
        <v>269.11</v>
      </c>
      <c r="M1923" s="654" t="s">
        <v>90</v>
      </c>
    </row>
    <row r="1924" spans="12:13">
      <c r="L1924" s="654">
        <v>270</v>
      </c>
      <c r="M1924" s="654" t="s">
        <v>90</v>
      </c>
    </row>
    <row r="1925" spans="12:13">
      <c r="L1925" s="654">
        <v>271.05</v>
      </c>
      <c r="M1925" s="654" t="s">
        <v>90</v>
      </c>
    </row>
    <row r="1926" spans="12:13">
      <c r="L1926" s="654">
        <v>271.06</v>
      </c>
      <c r="M1926" s="654" t="s">
        <v>90</v>
      </c>
    </row>
    <row r="1927" spans="12:13">
      <c r="L1927" s="654">
        <v>272.02</v>
      </c>
      <c r="M1927" s="654" t="s">
        <v>90</v>
      </c>
    </row>
    <row r="1928" spans="12:13">
      <c r="L1928" s="654">
        <v>272.04000000000002</v>
      </c>
      <c r="M1928" s="654" t="s">
        <v>90</v>
      </c>
    </row>
    <row r="1929" spans="12:13">
      <c r="L1929" s="654">
        <v>272.05</v>
      </c>
      <c r="M1929" s="654" t="s">
        <v>90</v>
      </c>
    </row>
    <row r="1930" spans="12:13">
      <c r="L1930" s="654">
        <v>272.06</v>
      </c>
      <c r="M1930" s="654" t="s">
        <v>90</v>
      </c>
    </row>
    <row r="1931" spans="12:13">
      <c r="L1931" s="654">
        <v>272.07</v>
      </c>
      <c r="M1931" s="654" t="s">
        <v>90</v>
      </c>
    </row>
    <row r="1932" spans="12:13">
      <c r="L1932" s="654">
        <v>272.08</v>
      </c>
      <c r="M1932" s="654" t="s">
        <v>90</v>
      </c>
    </row>
    <row r="1933" spans="12:13">
      <c r="L1933" s="654">
        <v>272.08999999999997</v>
      </c>
      <c r="M1933" s="654" t="s">
        <v>90</v>
      </c>
    </row>
    <row r="1934" spans="12:13">
      <c r="L1934" s="654">
        <v>272.10000000000002</v>
      </c>
      <c r="M1934" s="654" t="s">
        <v>90</v>
      </c>
    </row>
    <row r="1935" spans="12:13">
      <c r="L1935" s="654">
        <v>273.08999999999997</v>
      </c>
      <c r="M1935" s="654" t="s">
        <v>90</v>
      </c>
    </row>
    <row r="1936" spans="12:13">
      <c r="L1936" s="654">
        <v>273.10000000000002</v>
      </c>
      <c r="M1936" s="654" t="s">
        <v>90</v>
      </c>
    </row>
    <row r="1937" spans="12:13">
      <c r="L1937" s="654">
        <v>273.14</v>
      </c>
      <c r="M1937" s="654" t="s">
        <v>90</v>
      </c>
    </row>
    <row r="1938" spans="12:13">
      <c r="L1938" s="654">
        <v>273.14999999999998</v>
      </c>
      <c r="M1938" s="654" t="s">
        <v>90</v>
      </c>
    </row>
    <row r="1939" spans="12:13">
      <c r="L1939" s="654">
        <v>273.16000000000003</v>
      </c>
      <c r="M1939" s="654" t="s">
        <v>90</v>
      </c>
    </row>
    <row r="1940" spans="12:13">
      <c r="L1940" s="654">
        <v>273.17</v>
      </c>
      <c r="M1940" s="654" t="s">
        <v>90</v>
      </c>
    </row>
    <row r="1941" spans="12:13">
      <c r="L1941" s="654">
        <v>273.18</v>
      </c>
      <c r="M1941" s="654" t="s">
        <v>90</v>
      </c>
    </row>
    <row r="1942" spans="12:13">
      <c r="L1942" s="654">
        <v>273.19</v>
      </c>
      <c r="M1942" s="654" t="s">
        <v>90</v>
      </c>
    </row>
    <row r="1943" spans="12:13">
      <c r="L1943" s="654">
        <v>273.2</v>
      </c>
      <c r="M1943" s="654" t="s">
        <v>90</v>
      </c>
    </row>
    <row r="1944" spans="12:13">
      <c r="L1944" s="654">
        <v>273.20999999999998</v>
      </c>
      <c r="M1944" s="654" t="s">
        <v>90</v>
      </c>
    </row>
    <row r="1945" spans="12:13">
      <c r="L1945" s="654">
        <v>273.22000000000003</v>
      </c>
      <c r="M1945" s="654" t="s">
        <v>90</v>
      </c>
    </row>
    <row r="1946" spans="12:13">
      <c r="L1946" s="654">
        <v>273.23</v>
      </c>
      <c r="M1946" s="654" t="s">
        <v>90</v>
      </c>
    </row>
    <row r="1947" spans="12:13">
      <c r="L1947" s="654">
        <v>273.24</v>
      </c>
      <c r="M1947" s="654" t="s">
        <v>90</v>
      </c>
    </row>
    <row r="1948" spans="12:13">
      <c r="L1948" s="654">
        <v>273.25</v>
      </c>
      <c r="M1948" s="654" t="s">
        <v>90</v>
      </c>
    </row>
    <row r="1949" spans="12:13">
      <c r="L1949" s="654">
        <v>273.26</v>
      </c>
      <c r="M1949" s="654" t="s">
        <v>90</v>
      </c>
    </row>
    <row r="1950" spans="12:13">
      <c r="L1950" s="654">
        <v>273.27</v>
      </c>
      <c r="M1950" s="654" t="s">
        <v>90</v>
      </c>
    </row>
    <row r="1951" spans="12:13">
      <c r="L1951" s="654">
        <v>274.02999999999997</v>
      </c>
      <c r="M1951" s="654" t="s">
        <v>90</v>
      </c>
    </row>
    <row r="1952" spans="12:13">
      <c r="L1952" s="654">
        <v>275.01</v>
      </c>
      <c r="M1952" s="654" t="s">
        <v>90</v>
      </c>
    </row>
    <row r="1953" spans="12:13">
      <c r="L1953" s="654">
        <v>276.02999999999997</v>
      </c>
      <c r="M1953" s="654" t="s">
        <v>90</v>
      </c>
    </row>
    <row r="1954" spans="12:13">
      <c r="L1954" s="654">
        <v>276.04000000000002</v>
      </c>
      <c r="M1954" s="654" t="s">
        <v>90</v>
      </c>
    </row>
    <row r="1955" spans="12:13">
      <c r="L1955" s="654">
        <v>276.05</v>
      </c>
      <c r="M1955" s="654" t="s">
        <v>90</v>
      </c>
    </row>
    <row r="1956" spans="12:13">
      <c r="L1956" s="654">
        <v>276.06</v>
      </c>
      <c r="M1956" s="654" t="s">
        <v>90</v>
      </c>
    </row>
    <row r="1957" spans="12:13">
      <c r="L1957" s="654">
        <v>277.01</v>
      </c>
      <c r="M1957" s="654" t="s">
        <v>90</v>
      </c>
    </row>
    <row r="1958" spans="12:13">
      <c r="L1958" s="654">
        <v>277.02999999999997</v>
      </c>
      <c r="M1958" s="654" t="s">
        <v>90</v>
      </c>
    </row>
    <row r="1959" spans="12:13">
      <c r="L1959" s="654">
        <v>277.04000000000002</v>
      </c>
      <c r="M1959" s="654" t="s">
        <v>90</v>
      </c>
    </row>
    <row r="1960" spans="12:13">
      <c r="L1960" s="654">
        <v>278.01</v>
      </c>
      <c r="M1960" s="654" t="s">
        <v>90</v>
      </c>
    </row>
    <row r="1961" spans="12:13">
      <c r="L1961" s="654">
        <v>278.02</v>
      </c>
      <c r="M1961" s="654" t="s">
        <v>90</v>
      </c>
    </row>
    <row r="1962" spans="12:13">
      <c r="L1962" s="654">
        <v>279.01</v>
      </c>
      <c r="M1962" s="654" t="s">
        <v>90</v>
      </c>
    </row>
    <row r="1963" spans="12:13">
      <c r="L1963" s="654">
        <v>279.02999999999997</v>
      </c>
      <c r="M1963" s="654" t="s">
        <v>90</v>
      </c>
    </row>
    <row r="1964" spans="12:13">
      <c r="L1964" s="654">
        <v>279.04000000000002</v>
      </c>
      <c r="M1964" s="654" t="s">
        <v>90</v>
      </c>
    </row>
    <row r="1965" spans="12:13">
      <c r="L1965" s="654">
        <v>280.02</v>
      </c>
      <c r="M1965" s="654" t="s">
        <v>90</v>
      </c>
    </row>
    <row r="1966" spans="12:13">
      <c r="L1966" s="654">
        <v>280.02999999999997</v>
      </c>
      <c r="M1966" s="654" t="s">
        <v>90</v>
      </c>
    </row>
    <row r="1967" spans="12:13">
      <c r="L1967" s="654">
        <v>280.04000000000002</v>
      </c>
      <c r="M1967" s="654" t="s">
        <v>90</v>
      </c>
    </row>
    <row r="1968" spans="12:13">
      <c r="L1968" s="654">
        <v>281.02</v>
      </c>
      <c r="M1968" s="654" t="s">
        <v>90</v>
      </c>
    </row>
    <row r="1969" spans="12:13">
      <c r="L1969" s="654">
        <v>282</v>
      </c>
      <c r="M1969" s="654" t="s">
        <v>90</v>
      </c>
    </row>
    <row r="1970" spans="12:13">
      <c r="L1970" s="654">
        <v>284.01</v>
      </c>
      <c r="M1970" s="654" t="s">
        <v>90</v>
      </c>
    </row>
    <row r="1971" spans="12:13">
      <c r="L1971" s="654">
        <v>104.02</v>
      </c>
      <c r="M1971" s="654" t="s">
        <v>92</v>
      </c>
    </row>
    <row r="1972" spans="12:13">
      <c r="L1972" s="654">
        <v>105.01</v>
      </c>
      <c r="M1972" s="654" t="s">
        <v>92</v>
      </c>
    </row>
    <row r="1973" spans="12:13">
      <c r="L1973" s="654">
        <v>105.02</v>
      </c>
      <c r="M1973" s="654" t="s">
        <v>92</v>
      </c>
    </row>
    <row r="1974" spans="12:13">
      <c r="L1974" s="654">
        <v>106.01</v>
      </c>
      <c r="M1974" s="654" t="s">
        <v>92</v>
      </c>
    </row>
    <row r="1975" spans="12:13">
      <c r="L1975" s="654">
        <v>106.03</v>
      </c>
      <c r="M1975" s="654" t="s">
        <v>92</v>
      </c>
    </row>
    <row r="1976" spans="12:13">
      <c r="L1976" s="654">
        <v>106.04</v>
      </c>
      <c r="M1976" s="654" t="s">
        <v>92</v>
      </c>
    </row>
    <row r="1977" spans="12:13">
      <c r="L1977" s="654">
        <v>107.01</v>
      </c>
      <c r="M1977" s="654" t="s">
        <v>92</v>
      </c>
    </row>
    <row r="1978" spans="12:13">
      <c r="L1978" s="654">
        <v>107.02</v>
      </c>
      <c r="M1978" s="654" t="s">
        <v>92</v>
      </c>
    </row>
    <row r="1979" spans="12:13">
      <c r="L1979" s="654">
        <v>115.02</v>
      </c>
      <c r="M1979" s="654" t="s">
        <v>92</v>
      </c>
    </row>
    <row r="1980" spans="12:13">
      <c r="L1980" s="654">
        <v>118.21</v>
      </c>
      <c r="M1980" s="654" t="s">
        <v>92</v>
      </c>
    </row>
    <row r="1981" spans="12:13">
      <c r="L1981" s="654">
        <v>118.22</v>
      </c>
      <c r="M1981" s="654" t="s">
        <v>92</v>
      </c>
    </row>
    <row r="1982" spans="12:13">
      <c r="L1982" s="654">
        <v>118.32</v>
      </c>
      <c r="M1982" s="654" t="s">
        <v>92</v>
      </c>
    </row>
    <row r="1983" spans="12:13">
      <c r="L1983" s="654">
        <v>118.33</v>
      </c>
      <c r="M1983" s="654" t="s">
        <v>92</v>
      </c>
    </row>
    <row r="1984" spans="12:13">
      <c r="L1984" s="654">
        <v>118.34</v>
      </c>
      <c r="M1984" s="654" t="s">
        <v>92</v>
      </c>
    </row>
    <row r="1985" spans="12:13">
      <c r="L1985" s="654">
        <v>118.35</v>
      </c>
      <c r="M1985" s="654" t="s">
        <v>92</v>
      </c>
    </row>
    <row r="1986" spans="12:13">
      <c r="L1986" s="654">
        <v>118.36</v>
      </c>
      <c r="M1986" s="654" t="s">
        <v>92</v>
      </c>
    </row>
    <row r="1987" spans="12:13">
      <c r="L1987" s="654">
        <v>119.02</v>
      </c>
      <c r="M1987" s="654" t="s">
        <v>92</v>
      </c>
    </row>
    <row r="1988" spans="12:13">
      <c r="L1988" s="654">
        <v>119.08</v>
      </c>
      <c r="M1988" s="654" t="s">
        <v>92</v>
      </c>
    </row>
    <row r="1989" spans="12:13">
      <c r="L1989" s="654">
        <v>119.09</v>
      </c>
      <c r="M1989" s="654" t="s">
        <v>92</v>
      </c>
    </row>
    <row r="1990" spans="12:13">
      <c r="L1990" s="654">
        <v>119.1</v>
      </c>
      <c r="M1990" s="654" t="s">
        <v>92</v>
      </c>
    </row>
    <row r="1991" spans="12:13">
      <c r="L1991" s="654">
        <v>119.11</v>
      </c>
      <c r="M1991" s="654" t="s">
        <v>92</v>
      </c>
    </row>
    <row r="1992" spans="12:13">
      <c r="L1992" s="654">
        <v>119.12</v>
      </c>
      <c r="M1992" s="654" t="s">
        <v>92</v>
      </c>
    </row>
    <row r="1993" spans="12:13">
      <c r="L1993" s="654">
        <v>119.13</v>
      </c>
      <c r="M1993" s="654" t="s">
        <v>92</v>
      </c>
    </row>
    <row r="1994" spans="12:13">
      <c r="L1994" s="654">
        <v>120.04</v>
      </c>
      <c r="M1994" s="654" t="s">
        <v>92</v>
      </c>
    </row>
    <row r="1995" spans="12:13">
      <c r="L1995" s="654">
        <v>121.11</v>
      </c>
      <c r="M1995" s="654" t="s">
        <v>92</v>
      </c>
    </row>
    <row r="1996" spans="12:13">
      <c r="L1996" s="654">
        <v>121.13</v>
      </c>
      <c r="M1996" s="654" t="s">
        <v>92</v>
      </c>
    </row>
    <row r="1997" spans="12:13">
      <c r="L1997" s="654">
        <v>121.26</v>
      </c>
      <c r="M1997" s="654" t="s">
        <v>92</v>
      </c>
    </row>
    <row r="1998" spans="12:13">
      <c r="L1998" s="654">
        <v>121.27</v>
      </c>
      <c r="M1998" s="654" t="s">
        <v>92</v>
      </c>
    </row>
    <row r="1999" spans="12:13">
      <c r="L1999" s="654">
        <v>121.28</v>
      </c>
      <c r="M1999" s="654" t="s">
        <v>92</v>
      </c>
    </row>
    <row r="2000" spans="12:13">
      <c r="L2000" s="654">
        <v>121.29</v>
      </c>
      <c r="M2000" s="654" t="s">
        <v>92</v>
      </c>
    </row>
    <row r="2001" spans="12:13">
      <c r="L2001" s="654">
        <v>122.04</v>
      </c>
      <c r="M2001" s="654" t="s">
        <v>92</v>
      </c>
    </row>
    <row r="2002" spans="12:13">
      <c r="L2002" s="654">
        <v>122.05</v>
      </c>
      <c r="M2002" s="654" t="s">
        <v>92</v>
      </c>
    </row>
    <row r="2003" spans="12:13">
      <c r="L2003" s="654">
        <v>122.06</v>
      </c>
      <c r="M2003" s="654" t="s">
        <v>92</v>
      </c>
    </row>
    <row r="2004" spans="12:13">
      <c r="L2004" s="654">
        <v>123.03</v>
      </c>
      <c r="M2004" s="654" t="s">
        <v>92</v>
      </c>
    </row>
    <row r="2005" spans="12:13">
      <c r="L2005" s="654">
        <v>123.04</v>
      </c>
      <c r="M2005" s="654" t="s">
        <v>92</v>
      </c>
    </row>
    <row r="2006" spans="12:13">
      <c r="L2006" s="654">
        <v>123.06</v>
      </c>
      <c r="M2006" s="654" t="s">
        <v>92</v>
      </c>
    </row>
    <row r="2007" spans="12:13">
      <c r="L2007" s="654">
        <v>123.09</v>
      </c>
      <c r="M2007" s="654" t="s">
        <v>92</v>
      </c>
    </row>
    <row r="2008" spans="12:13">
      <c r="L2008" s="654">
        <v>124.03</v>
      </c>
      <c r="M2008" s="654" t="s">
        <v>92</v>
      </c>
    </row>
    <row r="2009" spans="12:13">
      <c r="L2009" s="654">
        <v>124.04</v>
      </c>
      <c r="M2009" s="654" t="s">
        <v>92</v>
      </c>
    </row>
    <row r="2010" spans="12:13">
      <c r="L2010" s="654">
        <v>124.05</v>
      </c>
      <c r="M2010" s="654" t="s">
        <v>92</v>
      </c>
    </row>
    <row r="2011" spans="12:13">
      <c r="L2011" s="654">
        <v>124.06</v>
      </c>
      <c r="M2011" s="654" t="s">
        <v>92</v>
      </c>
    </row>
    <row r="2012" spans="12:13">
      <c r="L2012" s="654">
        <v>124.07</v>
      </c>
      <c r="M2012" s="654" t="s">
        <v>92</v>
      </c>
    </row>
    <row r="2013" spans="12:13">
      <c r="L2013" s="654">
        <v>124.08</v>
      </c>
      <c r="M2013" s="654" t="s">
        <v>92</v>
      </c>
    </row>
    <row r="2014" spans="12:13">
      <c r="L2014" s="654">
        <v>124.09</v>
      </c>
      <c r="M2014" s="654" t="s">
        <v>92</v>
      </c>
    </row>
    <row r="2015" spans="12:13">
      <c r="L2015" s="654">
        <v>124.1</v>
      </c>
      <c r="M2015" s="654" t="s">
        <v>92</v>
      </c>
    </row>
    <row r="2016" spans="12:13">
      <c r="L2016" s="654">
        <v>124.11</v>
      </c>
      <c r="M2016" s="654" t="s">
        <v>92</v>
      </c>
    </row>
    <row r="2017" spans="12:13">
      <c r="L2017" s="654">
        <v>125.02</v>
      </c>
      <c r="M2017" s="654" t="s">
        <v>92</v>
      </c>
    </row>
    <row r="2018" spans="12:13">
      <c r="L2018" s="654">
        <v>125.03</v>
      </c>
      <c r="M2018" s="654" t="s">
        <v>92</v>
      </c>
    </row>
    <row r="2019" spans="12:13">
      <c r="L2019" s="654">
        <v>125.04</v>
      </c>
      <c r="M2019" s="654" t="s">
        <v>92</v>
      </c>
    </row>
    <row r="2020" spans="12:13">
      <c r="L2020" s="654">
        <v>125.06</v>
      </c>
      <c r="M2020" s="654" t="s">
        <v>92</v>
      </c>
    </row>
    <row r="2021" spans="12:13">
      <c r="L2021" s="654">
        <v>125.07</v>
      </c>
      <c r="M2021" s="654" t="s">
        <v>92</v>
      </c>
    </row>
    <row r="2022" spans="12:13">
      <c r="L2022" s="654">
        <v>128.02000000000001</v>
      </c>
      <c r="M2022" s="654" t="s">
        <v>92</v>
      </c>
    </row>
    <row r="2023" spans="12:13">
      <c r="L2023" s="654">
        <v>128.03</v>
      </c>
      <c r="M2023" s="654" t="s">
        <v>92</v>
      </c>
    </row>
    <row r="2024" spans="12:13">
      <c r="L2024" s="654">
        <v>129</v>
      </c>
      <c r="M2024" s="654" t="s">
        <v>92</v>
      </c>
    </row>
    <row r="2025" spans="12:13">
      <c r="L2025" s="654">
        <v>130.01</v>
      </c>
      <c r="M2025" s="654" t="s">
        <v>92</v>
      </c>
    </row>
    <row r="2026" spans="12:13">
      <c r="L2026" s="654">
        <v>131.01</v>
      </c>
      <c r="M2026" s="654" t="s">
        <v>92</v>
      </c>
    </row>
    <row r="2027" spans="12:13">
      <c r="L2027" s="654">
        <v>135</v>
      </c>
      <c r="M2027" s="654" t="s">
        <v>92</v>
      </c>
    </row>
    <row r="2028" spans="12:13">
      <c r="L2028" s="654">
        <v>137.02000000000001</v>
      </c>
      <c r="M2028" s="654" t="s">
        <v>92</v>
      </c>
    </row>
    <row r="2029" spans="12:13">
      <c r="L2029" s="654">
        <v>139.02000000000001</v>
      </c>
      <c r="M2029" s="654" t="s">
        <v>92</v>
      </c>
    </row>
    <row r="2030" spans="12:13">
      <c r="L2030" s="654">
        <v>140.01</v>
      </c>
      <c r="M2030" s="654" t="s">
        <v>92</v>
      </c>
    </row>
    <row r="2031" spans="12:13">
      <c r="L2031" s="654">
        <v>140.03</v>
      </c>
      <c r="M2031" s="654" t="s">
        <v>92</v>
      </c>
    </row>
    <row r="2032" spans="12:13">
      <c r="L2032" s="654">
        <v>140.05000000000001</v>
      </c>
      <c r="M2032" s="654" t="s">
        <v>92</v>
      </c>
    </row>
    <row r="2033" spans="12:13">
      <c r="L2033" s="654">
        <v>140.06</v>
      </c>
      <c r="M2033" s="654" t="s">
        <v>92</v>
      </c>
    </row>
    <row r="2034" spans="12:13">
      <c r="L2034" s="654">
        <v>141.03</v>
      </c>
      <c r="M2034" s="654" t="s">
        <v>92</v>
      </c>
    </row>
    <row r="2035" spans="12:13">
      <c r="L2035" s="654">
        <v>141.04</v>
      </c>
      <c r="M2035" s="654" t="s">
        <v>92</v>
      </c>
    </row>
    <row r="2036" spans="12:13">
      <c r="L2036" s="654">
        <v>141.05000000000001</v>
      </c>
      <c r="M2036" s="654" t="s">
        <v>92</v>
      </c>
    </row>
    <row r="2037" spans="12:13">
      <c r="L2037" s="654">
        <v>141.21</v>
      </c>
      <c r="M2037" s="654" t="s">
        <v>92</v>
      </c>
    </row>
    <row r="2038" spans="12:13">
      <c r="L2038" s="654">
        <v>141.22999999999999</v>
      </c>
      <c r="M2038" s="654" t="s">
        <v>92</v>
      </c>
    </row>
    <row r="2039" spans="12:13">
      <c r="L2039" s="654">
        <v>142.02000000000001</v>
      </c>
      <c r="M2039" s="654" t="s">
        <v>92</v>
      </c>
    </row>
    <row r="2040" spans="12:13">
      <c r="L2040" s="654">
        <v>142.03</v>
      </c>
      <c r="M2040" s="654" t="s">
        <v>92</v>
      </c>
    </row>
    <row r="2041" spans="12:13">
      <c r="L2041" s="654">
        <v>143.02000000000001</v>
      </c>
      <c r="M2041" s="654" t="s">
        <v>92</v>
      </c>
    </row>
    <row r="2042" spans="12:13">
      <c r="L2042" s="654">
        <v>144</v>
      </c>
      <c r="M2042" s="654" t="s">
        <v>92</v>
      </c>
    </row>
    <row r="2043" spans="12:13">
      <c r="L2043" s="654">
        <v>145.01</v>
      </c>
      <c r="M2043" s="654" t="s">
        <v>92</v>
      </c>
    </row>
    <row r="2044" spans="12:13">
      <c r="L2044" s="654">
        <v>147.01</v>
      </c>
      <c r="M2044" s="654" t="s">
        <v>92</v>
      </c>
    </row>
    <row r="2045" spans="12:13">
      <c r="L2045" s="654">
        <v>147.02000000000001</v>
      </c>
      <c r="M2045" s="654" t="s">
        <v>92</v>
      </c>
    </row>
    <row r="2046" spans="12:13">
      <c r="L2046" s="654">
        <v>148.02000000000001</v>
      </c>
      <c r="M2046" s="654" t="s">
        <v>92</v>
      </c>
    </row>
    <row r="2047" spans="12:13">
      <c r="L2047" s="654">
        <v>148.03</v>
      </c>
      <c r="M2047" s="654" t="s">
        <v>92</v>
      </c>
    </row>
    <row r="2048" spans="12:13">
      <c r="L2048" s="654">
        <v>148.04</v>
      </c>
      <c r="M2048" s="654" t="s">
        <v>92</v>
      </c>
    </row>
    <row r="2049" spans="12:13">
      <c r="L2049" s="654">
        <v>149.01</v>
      </c>
      <c r="M2049" s="654" t="s">
        <v>92</v>
      </c>
    </row>
    <row r="2050" spans="12:13">
      <c r="L2050" s="654">
        <v>151.01</v>
      </c>
      <c r="M2050" s="654" t="s">
        <v>92</v>
      </c>
    </row>
    <row r="2051" spans="12:13">
      <c r="L2051" s="654">
        <v>151.02000000000001</v>
      </c>
      <c r="M2051" s="654" t="s">
        <v>92</v>
      </c>
    </row>
    <row r="2052" spans="12:13">
      <c r="L2052" s="654">
        <v>154.04</v>
      </c>
      <c r="M2052" s="654" t="s">
        <v>92</v>
      </c>
    </row>
    <row r="2053" spans="12:13">
      <c r="L2053" s="654">
        <v>159</v>
      </c>
      <c r="M2053" s="654" t="s">
        <v>92</v>
      </c>
    </row>
    <row r="2054" spans="12:13">
      <c r="L2054" s="654">
        <v>9501</v>
      </c>
      <c r="M2054" s="654" t="s">
        <v>93</v>
      </c>
    </row>
    <row r="2055" spans="12:13">
      <c r="L2055" s="654">
        <v>9502.02</v>
      </c>
      <c r="M2055" s="654" t="s">
        <v>93</v>
      </c>
    </row>
    <row r="2056" spans="12:13">
      <c r="L2056" s="654">
        <v>9503</v>
      </c>
      <c r="M2056" s="654" t="s">
        <v>93</v>
      </c>
    </row>
    <row r="2057" spans="12:13">
      <c r="L2057" s="654">
        <v>9504</v>
      </c>
      <c r="M2057" s="654" t="s">
        <v>93</v>
      </c>
    </row>
    <row r="2058" spans="12:13">
      <c r="L2058" s="654">
        <v>9506</v>
      </c>
      <c r="M2058" s="654" t="s">
        <v>93</v>
      </c>
    </row>
    <row r="2059" spans="12:13">
      <c r="L2059" s="654">
        <v>9509</v>
      </c>
      <c r="M2059" s="654" t="s">
        <v>93</v>
      </c>
    </row>
    <row r="2060" spans="12:13">
      <c r="L2060" s="654">
        <v>9510</v>
      </c>
      <c r="M2060" s="654" t="s">
        <v>93</v>
      </c>
    </row>
    <row r="2061" spans="12:13">
      <c r="L2061" s="654">
        <v>9511</v>
      </c>
      <c r="M2061" s="654" t="s">
        <v>93</v>
      </c>
    </row>
    <row r="2062" spans="12:13">
      <c r="L2062" s="654">
        <v>9513</v>
      </c>
      <c r="M2062" s="654" t="s">
        <v>93</v>
      </c>
    </row>
    <row r="2063" spans="12:13">
      <c r="L2063" s="654">
        <v>205</v>
      </c>
      <c r="M2063" s="654" t="s">
        <v>94</v>
      </c>
    </row>
    <row r="2064" spans="12:13">
      <c r="L2064" s="654">
        <v>206.01</v>
      </c>
      <c r="M2064" s="654" t="s">
        <v>94</v>
      </c>
    </row>
    <row r="2065" spans="12:13">
      <c r="L2065" s="654">
        <v>206.02</v>
      </c>
      <c r="M2065" s="654" t="s">
        <v>94</v>
      </c>
    </row>
    <row r="2066" spans="12:13">
      <c r="L2066" s="654">
        <v>207.04</v>
      </c>
      <c r="M2066" s="654" t="s">
        <v>94</v>
      </c>
    </row>
    <row r="2067" spans="12:13">
      <c r="L2067" s="654">
        <v>207.05</v>
      </c>
      <c r="M2067" s="654" t="s">
        <v>94</v>
      </c>
    </row>
    <row r="2068" spans="12:13">
      <c r="L2068" s="654">
        <v>207.06</v>
      </c>
      <c r="M2068" s="654" t="s">
        <v>94</v>
      </c>
    </row>
    <row r="2069" spans="12:13">
      <c r="L2069" s="654">
        <v>207.07</v>
      </c>
      <c r="M2069" s="654" t="s">
        <v>94</v>
      </c>
    </row>
    <row r="2070" spans="12:13">
      <c r="L2070" s="654">
        <v>207.08</v>
      </c>
      <c r="M2070" s="654" t="s">
        <v>94</v>
      </c>
    </row>
    <row r="2071" spans="12:13">
      <c r="L2071" s="654">
        <v>207.1</v>
      </c>
      <c r="M2071" s="654" t="s">
        <v>94</v>
      </c>
    </row>
    <row r="2072" spans="12:13">
      <c r="L2072" s="654">
        <v>207.11</v>
      </c>
      <c r="M2072" s="654" t="s">
        <v>94</v>
      </c>
    </row>
    <row r="2073" spans="12:13">
      <c r="L2073" s="654">
        <v>208.01</v>
      </c>
      <c r="M2073" s="654" t="s">
        <v>94</v>
      </c>
    </row>
    <row r="2074" spans="12:13">
      <c r="L2074" s="654">
        <v>208.02</v>
      </c>
      <c r="M2074" s="654" t="s">
        <v>94</v>
      </c>
    </row>
    <row r="2075" spans="12:13">
      <c r="L2075" s="654">
        <v>208.03</v>
      </c>
      <c r="M2075" s="654" t="s">
        <v>94</v>
      </c>
    </row>
    <row r="2076" spans="12:13">
      <c r="L2076" s="654">
        <v>208.05</v>
      </c>
      <c r="M2076" s="654" t="s">
        <v>94</v>
      </c>
    </row>
    <row r="2077" spans="12:13">
      <c r="L2077" s="654">
        <v>208.06</v>
      </c>
      <c r="M2077" s="654" t="s">
        <v>94</v>
      </c>
    </row>
    <row r="2078" spans="12:13">
      <c r="L2078" s="654">
        <v>208.07</v>
      </c>
      <c r="M2078" s="654" t="s">
        <v>94</v>
      </c>
    </row>
    <row r="2079" spans="12:13">
      <c r="L2079" s="654">
        <v>209.02</v>
      </c>
      <c r="M2079" s="654" t="s">
        <v>94</v>
      </c>
    </row>
    <row r="2080" spans="12:13">
      <c r="L2080" s="654">
        <v>212.04</v>
      </c>
      <c r="M2080" s="654" t="s">
        <v>94</v>
      </c>
    </row>
    <row r="2081" spans="12:13">
      <c r="L2081" s="654">
        <v>213.02</v>
      </c>
      <c r="M2081" s="654" t="s">
        <v>94</v>
      </c>
    </row>
    <row r="2082" spans="12:13">
      <c r="L2082" s="654">
        <v>214.03</v>
      </c>
      <c r="M2082" s="654" t="s">
        <v>94</v>
      </c>
    </row>
    <row r="2083" spans="12:13">
      <c r="L2083" s="654">
        <v>214.04</v>
      </c>
      <c r="M2083" s="654" t="s">
        <v>94</v>
      </c>
    </row>
    <row r="2084" spans="12:13">
      <c r="L2084" s="654">
        <v>214.05</v>
      </c>
      <c r="M2084" s="654" t="s">
        <v>94</v>
      </c>
    </row>
    <row r="2085" spans="12:13">
      <c r="L2085" s="654">
        <v>214.06</v>
      </c>
      <c r="M2085" s="654" t="s">
        <v>94</v>
      </c>
    </row>
    <row r="2086" spans="12:13">
      <c r="L2086" s="654">
        <v>214.07</v>
      </c>
      <c r="M2086" s="654" t="s">
        <v>94</v>
      </c>
    </row>
    <row r="2087" spans="12:13">
      <c r="L2087" s="654">
        <v>3808</v>
      </c>
      <c r="M2087" s="654" t="s">
        <v>95</v>
      </c>
    </row>
    <row r="2088" spans="12:13">
      <c r="L2088" s="654">
        <v>3810</v>
      </c>
      <c r="M2088" s="654" t="s">
        <v>95</v>
      </c>
    </row>
    <row r="2089" spans="12:13">
      <c r="L2089" s="654">
        <v>3811.02</v>
      </c>
      <c r="M2089" s="654" t="s">
        <v>95</v>
      </c>
    </row>
    <row r="2090" spans="12:13">
      <c r="L2090" s="654">
        <v>3812.04</v>
      </c>
      <c r="M2090" s="654" t="s">
        <v>95</v>
      </c>
    </row>
    <row r="2091" spans="12:13">
      <c r="L2091" s="654">
        <v>3813</v>
      </c>
      <c r="M2091" s="654" t="s">
        <v>95</v>
      </c>
    </row>
    <row r="2092" spans="12:13">
      <c r="L2092" s="654">
        <v>3815.02</v>
      </c>
      <c r="M2092" s="654" t="s">
        <v>95</v>
      </c>
    </row>
    <row r="2093" spans="12:13">
      <c r="L2093" s="654">
        <v>3816.01</v>
      </c>
      <c r="M2093" s="654" t="s">
        <v>95</v>
      </c>
    </row>
    <row r="2094" spans="12:13">
      <c r="L2094" s="654">
        <v>3817.01</v>
      </c>
      <c r="M2094" s="654" t="s">
        <v>95</v>
      </c>
    </row>
    <row r="2095" spans="12:13">
      <c r="L2095" s="654">
        <v>3818.03</v>
      </c>
      <c r="M2095" s="654" t="s">
        <v>95</v>
      </c>
    </row>
    <row r="2096" spans="12:13">
      <c r="L2096" s="654">
        <v>3818.04</v>
      </c>
      <c r="M2096" s="654" t="s">
        <v>95</v>
      </c>
    </row>
    <row r="2097" spans="12:13">
      <c r="L2097" s="654">
        <v>3819</v>
      </c>
      <c r="M2097" s="654" t="s">
        <v>95</v>
      </c>
    </row>
    <row r="2098" spans="12:13">
      <c r="L2098" s="654">
        <v>3820.03</v>
      </c>
      <c r="M2098" s="654" t="s">
        <v>95</v>
      </c>
    </row>
    <row r="2099" spans="12:13">
      <c r="L2099" s="654">
        <v>3820.06</v>
      </c>
      <c r="M2099" s="654" t="s">
        <v>95</v>
      </c>
    </row>
    <row r="2100" spans="12:13">
      <c r="L2100" s="654">
        <v>3820.07</v>
      </c>
      <c r="M2100" s="654" t="s">
        <v>95</v>
      </c>
    </row>
    <row r="2101" spans="12:13">
      <c r="L2101" s="654">
        <v>3820.08</v>
      </c>
      <c r="M2101" s="654" t="s">
        <v>95</v>
      </c>
    </row>
    <row r="2102" spans="12:13">
      <c r="L2102" s="654">
        <v>3821.06</v>
      </c>
      <c r="M2102" s="654" t="s">
        <v>95</v>
      </c>
    </row>
    <row r="2103" spans="12:13">
      <c r="L2103" s="654">
        <v>3821.08</v>
      </c>
      <c r="M2103" s="654" t="s">
        <v>95</v>
      </c>
    </row>
    <row r="2104" spans="12:13">
      <c r="L2104" s="654">
        <v>3821.09</v>
      </c>
      <c r="M2104" s="654" t="s">
        <v>95</v>
      </c>
    </row>
    <row r="2105" spans="12:13">
      <c r="L2105" s="654">
        <v>3821.1</v>
      </c>
      <c r="M2105" s="654" t="s">
        <v>95</v>
      </c>
    </row>
    <row r="2106" spans="12:13">
      <c r="L2106" s="654">
        <v>3821.11</v>
      </c>
      <c r="M2106" s="654" t="s">
        <v>95</v>
      </c>
    </row>
    <row r="2107" spans="12:13">
      <c r="L2107" s="654">
        <v>3821.12</v>
      </c>
      <c r="M2107" s="654" t="s">
        <v>95</v>
      </c>
    </row>
    <row r="2108" spans="12:13">
      <c r="L2108" s="654">
        <v>3821.13</v>
      </c>
      <c r="M2108" s="654" t="s">
        <v>95</v>
      </c>
    </row>
    <row r="2109" spans="12:13">
      <c r="L2109" s="654">
        <v>3822</v>
      </c>
      <c r="M2109" s="654" t="s">
        <v>95</v>
      </c>
    </row>
    <row r="2110" spans="12:13">
      <c r="L2110" s="654">
        <v>103</v>
      </c>
      <c r="M2110" s="654" t="s">
        <v>96</v>
      </c>
    </row>
    <row r="2111" spans="12:13">
      <c r="L2111" s="654">
        <v>105.04</v>
      </c>
      <c r="M2111" s="654" t="s">
        <v>96</v>
      </c>
    </row>
    <row r="2112" spans="12:13">
      <c r="L2112" s="654">
        <v>107.02</v>
      </c>
      <c r="M2112" s="654" t="s">
        <v>96</v>
      </c>
    </row>
    <row r="2113" spans="12:13">
      <c r="L2113" s="654">
        <v>107.04</v>
      </c>
      <c r="M2113" s="654" t="s">
        <v>96</v>
      </c>
    </row>
    <row r="2114" spans="12:13">
      <c r="L2114" s="654">
        <v>107.07</v>
      </c>
      <c r="M2114" s="654" t="s">
        <v>96</v>
      </c>
    </row>
    <row r="2115" spans="12:13">
      <c r="L2115" s="654">
        <v>108.02</v>
      </c>
      <c r="M2115" s="654" t="s">
        <v>96</v>
      </c>
    </row>
    <row r="2116" spans="12:13">
      <c r="L2116" s="654">
        <v>108.11</v>
      </c>
      <c r="M2116" s="654" t="s">
        <v>96</v>
      </c>
    </row>
    <row r="2117" spans="12:13">
      <c r="L2117" s="654">
        <v>108.12</v>
      </c>
      <c r="M2117" s="654" t="s">
        <v>96</v>
      </c>
    </row>
    <row r="2118" spans="12:13">
      <c r="L2118" s="654">
        <v>108.13</v>
      </c>
      <c r="M2118" s="654" t="s">
        <v>96</v>
      </c>
    </row>
    <row r="2119" spans="12:13">
      <c r="L2119" s="654">
        <v>108.14</v>
      </c>
      <c r="M2119" s="654" t="s">
        <v>96</v>
      </c>
    </row>
    <row r="2120" spans="12:13">
      <c r="L2120" s="654">
        <v>108.17</v>
      </c>
      <c r="M2120" s="654" t="s">
        <v>96</v>
      </c>
    </row>
    <row r="2121" spans="12:13">
      <c r="L2121" s="654">
        <v>108.19</v>
      </c>
      <c r="M2121" s="654" t="s">
        <v>96</v>
      </c>
    </row>
    <row r="2122" spans="12:13">
      <c r="L2122" s="654">
        <v>109</v>
      </c>
      <c r="M2122" s="654" t="s">
        <v>96</v>
      </c>
    </row>
    <row r="2123" spans="12:13">
      <c r="L2123" s="654">
        <v>4.04</v>
      </c>
      <c r="M2123" s="654" t="s">
        <v>97</v>
      </c>
    </row>
    <row r="2124" spans="12:13">
      <c r="L2124" s="654">
        <v>4.05</v>
      </c>
      <c r="M2124" s="654" t="s">
        <v>97</v>
      </c>
    </row>
    <row r="2125" spans="12:13">
      <c r="L2125" s="654">
        <v>5.01</v>
      </c>
      <c r="M2125" s="654" t="s">
        <v>97</v>
      </c>
    </row>
    <row r="2126" spans="12:13">
      <c r="L2126" s="654">
        <v>5.0199999999999996</v>
      </c>
      <c r="M2126" s="654" t="s">
        <v>97</v>
      </c>
    </row>
    <row r="2127" spans="12:13">
      <c r="L2127" s="654">
        <v>6.01</v>
      </c>
      <c r="M2127" s="654" t="s">
        <v>97</v>
      </c>
    </row>
    <row r="2128" spans="12:13">
      <c r="L2128" s="654">
        <v>6.02</v>
      </c>
      <c r="M2128" s="654" t="s">
        <v>97</v>
      </c>
    </row>
    <row r="2129" spans="12:13">
      <c r="L2129" s="654">
        <v>7</v>
      </c>
      <c r="M2129" s="654" t="s">
        <v>97</v>
      </c>
    </row>
    <row r="2130" spans="12:13">
      <c r="L2130" s="654">
        <v>8.01</v>
      </c>
      <c r="M2130" s="654" t="s">
        <v>97</v>
      </c>
    </row>
    <row r="2131" spans="12:13">
      <c r="L2131" s="654">
        <v>8.02</v>
      </c>
      <c r="M2131" s="654" t="s">
        <v>97</v>
      </c>
    </row>
    <row r="2132" spans="12:13">
      <c r="L2132" s="654">
        <v>9</v>
      </c>
      <c r="M2132" s="654" t="s">
        <v>97</v>
      </c>
    </row>
    <row r="2133" spans="12:13">
      <c r="L2133" s="654">
        <v>12.01</v>
      </c>
      <c r="M2133" s="654" t="s">
        <v>97</v>
      </c>
    </row>
    <row r="2134" spans="12:13">
      <c r="L2134" s="654">
        <v>12.03</v>
      </c>
      <c r="M2134" s="654" t="s">
        <v>97</v>
      </c>
    </row>
    <row r="2135" spans="12:13">
      <c r="L2135" s="654">
        <v>12.04</v>
      </c>
      <c r="M2135" s="654" t="s">
        <v>97</v>
      </c>
    </row>
    <row r="2136" spans="12:13">
      <c r="L2136" s="654">
        <v>13.01</v>
      </c>
      <c r="M2136" s="654" t="s">
        <v>97</v>
      </c>
    </row>
    <row r="2137" spans="12:13">
      <c r="L2137" s="654">
        <v>13.02</v>
      </c>
      <c r="M2137" s="654" t="s">
        <v>97</v>
      </c>
    </row>
    <row r="2138" spans="12:13">
      <c r="L2138" s="654">
        <v>13.03</v>
      </c>
      <c r="M2138" s="654" t="s">
        <v>97</v>
      </c>
    </row>
    <row r="2139" spans="12:13">
      <c r="L2139" s="654">
        <v>13.04</v>
      </c>
      <c r="M2139" s="654" t="s">
        <v>97</v>
      </c>
    </row>
    <row r="2140" spans="12:13">
      <c r="L2140" s="654">
        <v>14.01</v>
      </c>
      <c r="M2140" s="654" t="s">
        <v>97</v>
      </c>
    </row>
    <row r="2141" spans="12:13">
      <c r="L2141" s="654">
        <v>14.02</v>
      </c>
      <c r="M2141" s="654" t="s">
        <v>97</v>
      </c>
    </row>
    <row r="2142" spans="12:13">
      <c r="L2142" s="654">
        <v>14.03</v>
      </c>
      <c r="M2142" s="654" t="s">
        <v>97</v>
      </c>
    </row>
    <row r="2143" spans="12:13">
      <c r="L2143" s="654">
        <v>15.03</v>
      </c>
      <c r="M2143" s="654" t="s">
        <v>97</v>
      </c>
    </row>
    <row r="2144" spans="12:13">
      <c r="L2144" s="654">
        <v>15.05</v>
      </c>
      <c r="M2144" s="654" t="s">
        <v>97</v>
      </c>
    </row>
    <row r="2145" spans="12:13">
      <c r="L2145" s="654">
        <v>15.06</v>
      </c>
      <c r="M2145" s="654" t="s">
        <v>97</v>
      </c>
    </row>
    <row r="2146" spans="12:13">
      <c r="L2146" s="654">
        <v>15.07</v>
      </c>
      <c r="M2146" s="654" t="s">
        <v>97</v>
      </c>
    </row>
    <row r="2147" spans="12:13">
      <c r="L2147" s="654">
        <v>17.02</v>
      </c>
      <c r="M2147" s="654" t="s">
        <v>97</v>
      </c>
    </row>
    <row r="2148" spans="12:13">
      <c r="L2148" s="654">
        <v>17.04</v>
      </c>
      <c r="M2148" s="654" t="s">
        <v>97</v>
      </c>
    </row>
    <row r="2149" spans="12:13">
      <c r="L2149" s="654">
        <v>18.010000000000002</v>
      </c>
      <c r="M2149" s="654" t="s">
        <v>97</v>
      </c>
    </row>
    <row r="2150" spans="12:13">
      <c r="L2150" s="654">
        <v>18.05</v>
      </c>
      <c r="M2150" s="654" t="s">
        <v>97</v>
      </c>
    </row>
    <row r="2151" spans="12:13">
      <c r="L2151" s="654">
        <v>19.03</v>
      </c>
      <c r="M2151" s="654" t="s">
        <v>97</v>
      </c>
    </row>
    <row r="2152" spans="12:13">
      <c r="L2152" s="654">
        <v>19.04</v>
      </c>
      <c r="M2152" s="654" t="s">
        <v>97</v>
      </c>
    </row>
    <row r="2153" spans="12:13">
      <c r="L2153" s="654">
        <v>19.05</v>
      </c>
      <c r="M2153" s="654" t="s">
        <v>97</v>
      </c>
    </row>
    <row r="2154" spans="12:13">
      <c r="L2154" s="654">
        <v>19.07</v>
      </c>
      <c r="M2154" s="654" t="s">
        <v>97</v>
      </c>
    </row>
    <row r="2155" spans="12:13">
      <c r="L2155" s="654">
        <v>19.079999999999998</v>
      </c>
      <c r="M2155" s="654" t="s">
        <v>97</v>
      </c>
    </row>
    <row r="2156" spans="12:13">
      <c r="L2156" s="654">
        <v>20.04</v>
      </c>
      <c r="M2156" s="654" t="s">
        <v>97</v>
      </c>
    </row>
    <row r="2157" spans="12:13">
      <c r="L2157" s="654">
        <v>20.05</v>
      </c>
      <c r="M2157" s="654" t="s">
        <v>97</v>
      </c>
    </row>
    <row r="2158" spans="12:13">
      <c r="L2158" s="654">
        <v>20.07</v>
      </c>
      <c r="M2158" s="654" t="s">
        <v>97</v>
      </c>
    </row>
    <row r="2159" spans="12:13">
      <c r="L2159" s="654">
        <v>20.079999999999998</v>
      </c>
      <c r="M2159" s="654" t="s">
        <v>97</v>
      </c>
    </row>
    <row r="2160" spans="12:13">
      <c r="L2160" s="654">
        <v>20.09</v>
      </c>
      <c r="M2160" s="654" t="s">
        <v>97</v>
      </c>
    </row>
    <row r="2161" spans="12:13">
      <c r="L2161" s="654">
        <v>20.100000000000001</v>
      </c>
      <c r="M2161" s="654" t="s">
        <v>97</v>
      </c>
    </row>
    <row r="2162" spans="12:13">
      <c r="L2162" s="654">
        <v>21</v>
      </c>
      <c r="M2162" s="654" t="s">
        <v>97</v>
      </c>
    </row>
    <row r="2163" spans="12:13">
      <c r="L2163" s="654">
        <v>22.02</v>
      </c>
      <c r="M2163" s="654" t="s">
        <v>97</v>
      </c>
    </row>
    <row r="2164" spans="12:13">
      <c r="L2164" s="654">
        <v>23.03</v>
      </c>
      <c r="M2164" s="654" t="s">
        <v>97</v>
      </c>
    </row>
    <row r="2165" spans="12:13">
      <c r="L2165" s="654">
        <v>23.04</v>
      </c>
      <c r="M2165" s="654" t="s">
        <v>97</v>
      </c>
    </row>
    <row r="2166" spans="12:13">
      <c r="L2166" s="654">
        <v>23.05</v>
      </c>
      <c r="M2166" s="654" t="s">
        <v>97</v>
      </c>
    </row>
    <row r="2167" spans="12:13">
      <c r="L2167" s="654">
        <v>24.01</v>
      </c>
      <c r="M2167" s="654" t="s">
        <v>97</v>
      </c>
    </row>
    <row r="2168" spans="12:13">
      <c r="L2168" s="654">
        <v>25.05</v>
      </c>
      <c r="M2168" s="654" t="s">
        <v>97</v>
      </c>
    </row>
    <row r="2169" spans="12:13">
      <c r="L2169" s="654">
        <v>25.07</v>
      </c>
      <c r="M2169" s="654" t="s">
        <v>97</v>
      </c>
    </row>
    <row r="2170" spans="12:13">
      <c r="L2170" s="654">
        <v>25.11</v>
      </c>
      <c r="M2170" s="654" t="s">
        <v>97</v>
      </c>
    </row>
    <row r="2171" spans="12:13">
      <c r="L2171" s="654">
        <v>26.01</v>
      </c>
      <c r="M2171" s="654" t="s">
        <v>97</v>
      </c>
    </row>
    <row r="2172" spans="12:13">
      <c r="L2172" s="654">
        <v>27.11</v>
      </c>
      <c r="M2172" s="654" t="s">
        <v>97</v>
      </c>
    </row>
    <row r="2173" spans="12:13">
      <c r="L2173" s="654">
        <v>27.12</v>
      </c>
      <c r="M2173" s="654" t="s">
        <v>97</v>
      </c>
    </row>
    <row r="2174" spans="12:13">
      <c r="L2174" s="654">
        <v>27.13</v>
      </c>
      <c r="M2174" s="654" t="s">
        <v>97</v>
      </c>
    </row>
    <row r="2175" spans="12:13">
      <c r="L2175" s="654">
        <v>27.14</v>
      </c>
      <c r="M2175" s="654" t="s">
        <v>97</v>
      </c>
    </row>
    <row r="2176" spans="12:13">
      <c r="L2176" s="654">
        <v>27.16</v>
      </c>
      <c r="M2176" s="654" t="s">
        <v>97</v>
      </c>
    </row>
    <row r="2177" spans="12:13">
      <c r="L2177" s="654">
        <v>27.18</v>
      </c>
      <c r="M2177" s="654" t="s">
        <v>97</v>
      </c>
    </row>
    <row r="2178" spans="12:13">
      <c r="L2178" s="654">
        <v>27.19</v>
      </c>
      <c r="M2178" s="654" t="s">
        <v>97</v>
      </c>
    </row>
    <row r="2179" spans="12:13">
      <c r="L2179" s="654">
        <v>27.2</v>
      </c>
      <c r="M2179" s="654" t="s">
        <v>97</v>
      </c>
    </row>
    <row r="2180" spans="12:13">
      <c r="L2180" s="654">
        <v>207.01</v>
      </c>
      <c r="M2180" s="654" t="s">
        <v>98</v>
      </c>
    </row>
    <row r="2181" spans="12:13">
      <c r="L2181" s="654">
        <v>207.03</v>
      </c>
      <c r="M2181" s="654" t="s">
        <v>98</v>
      </c>
    </row>
    <row r="2182" spans="12:13">
      <c r="L2182" s="654">
        <v>207.04</v>
      </c>
      <c r="M2182" s="654" t="s">
        <v>98</v>
      </c>
    </row>
    <row r="2183" spans="12:13">
      <c r="L2183" s="654">
        <v>207.05</v>
      </c>
      <c r="M2183" s="654" t="s">
        <v>98</v>
      </c>
    </row>
    <row r="2184" spans="12:13">
      <c r="L2184" s="654">
        <v>208.03</v>
      </c>
      <c r="M2184" s="654" t="s">
        <v>98</v>
      </c>
    </row>
    <row r="2185" spans="12:13">
      <c r="L2185" s="654">
        <v>208.05</v>
      </c>
      <c r="M2185" s="654" t="s">
        <v>98</v>
      </c>
    </row>
    <row r="2186" spans="12:13">
      <c r="L2186" s="654">
        <v>208.08</v>
      </c>
      <c r="M2186" s="654" t="s">
        <v>98</v>
      </c>
    </row>
    <row r="2187" spans="12:13">
      <c r="L2187" s="654">
        <v>208.1</v>
      </c>
      <c r="M2187" s="654" t="s">
        <v>98</v>
      </c>
    </row>
    <row r="2188" spans="12:13">
      <c r="L2188" s="654">
        <v>208.11</v>
      </c>
      <c r="M2188" s="654" t="s">
        <v>98</v>
      </c>
    </row>
    <row r="2189" spans="12:13">
      <c r="L2189" s="654">
        <v>212.01</v>
      </c>
      <c r="M2189" s="654" t="s">
        <v>98</v>
      </c>
    </row>
    <row r="2190" spans="12:13">
      <c r="L2190" s="654">
        <v>212.03</v>
      </c>
      <c r="M2190" s="654" t="s">
        <v>98</v>
      </c>
    </row>
    <row r="2191" spans="12:13">
      <c r="L2191" s="654">
        <v>212.04</v>
      </c>
      <c r="M2191" s="654" t="s">
        <v>98</v>
      </c>
    </row>
    <row r="2192" spans="12:13">
      <c r="L2192" s="654">
        <v>213.06</v>
      </c>
      <c r="M2192" s="654" t="s">
        <v>98</v>
      </c>
    </row>
    <row r="2193" spans="12:13">
      <c r="L2193" s="654">
        <v>213.07</v>
      </c>
      <c r="M2193" s="654" t="s">
        <v>98</v>
      </c>
    </row>
    <row r="2194" spans="12:13">
      <c r="L2194" s="654">
        <v>213.11</v>
      </c>
      <c r="M2194" s="654" t="s">
        <v>98</v>
      </c>
    </row>
    <row r="2195" spans="12:13">
      <c r="L2195" s="654">
        <v>213.12</v>
      </c>
      <c r="M2195" s="654" t="s">
        <v>98</v>
      </c>
    </row>
    <row r="2196" spans="12:13">
      <c r="L2196" s="654">
        <v>213.13</v>
      </c>
      <c r="M2196" s="654" t="s">
        <v>98</v>
      </c>
    </row>
    <row r="2197" spans="12:13">
      <c r="L2197" s="654">
        <v>213.14</v>
      </c>
      <c r="M2197" s="654" t="s">
        <v>98</v>
      </c>
    </row>
    <row r="2198" spans="12:13">
      <c r="L2198" s="654">
        <v>213.15</v>
      </c>
      <c r="M2198" s="654" t="s">
        <v>98</v>
      </c>
    </row>
    <row r="2199" spans="12:13">
      <c r="L2199" s="654">
        <v>213.16</v>
      </c>
      <c r="M2199" s="654" t="s">
        <v>98</v>
      </c>
    </row>
    <row r="2200" spans="12:13">
      <c r="L2200" s="654">
        <v>213.17</v>
      </c>
      <c r="M2200" s="654" t="s">
        <v>98</v>
      </c>
    </row>
    <row r="2201" spans="12:13">
      <c r="L2201" s="654">
        <v>213.18</v>
      </c>
      <c r="M2201" s="654" t="s">
        <v>98</v>
      </c>
    </row>
    <row r="2202" spans="12:13">
      <c r="L2202" s="654">
        <v>213.2</v>
      </c>
      <c r="M2202" s="654" t="s">
        <v>98</v>
      </c>
    </row>
    <row r="2203" spans="12:13">
      <c r="L2203" s="654">
        <v>213.21</v>
      </c>
      <c r="M2203" s="654" t="s">
        <v>98</v>
      </c>
    </row>
    <row r="2204" spans="12:13">
      <c r="L2204" s="654">
        <v>214.03</v>
      </c>
      <c r="M2204" s="654" t="s">
        <v>98</v>
      </c>
    </row>
    <row r="2205" spans="12:13">
      <c r="L2205" s="654">
        <v>215.04</v>
      </c>
      <c r="M2205" s="654" t="s">
        <v>98</v>
      </c>
    </row>
    <row r="2206" spans="12:13">
      <c r="L2206" s="654">
        <v>215.05</v>
      </c>
      <c r="M2206" s="654" t="s">
        <v>98</v>
      </c>
    </row>
    <row r="2207" spans="12:13">
      <c r="L2207" s="654">
        <v>216.04</v>
      </c>
      <c r="M2207" s="654" t="s">
        <v>98</v>
      </c>
    </row>
    <row r="2208" spans="12:13">
      <c r="L2208" s="654">
        <v>216.09</v>
      </c>
      <c r="M2208" s="654" t="s">
        <v>98</v>
      </c>
    </row>
    <row r="2209" spans="12:13">
      <c r="L2209" s="654">
        <v>216.11</v>
      </c>
      <c r="M2209" s="654" t="s">
        <v>98</v>
      </c>
    </row>
    <row r="2210" spans="12:13">
      <c r="L2210" s="654">
        <v>216.12</v>
      </c>
      <c r="M2210" s="654" t="s">
        <v>98</v>
      </c>
    </row>
    <row r="2211" spans="12:13">
      <c r="L2211" s="654">
        <v>216.14</v>
      </c>
      <c r="M2211" s="654" t="s">
        <v>98</v>
      </c>
    </row>
    <row r="2212" spans="12:13">
      <c r="L2212" s="654">
        <v>216.15</v>
      </c>
      <c r="M2212" s="654" t="s">
        <v>98</v>
      </c>
    </row>
    <row r="2213" spans="12:13">
      <c r="L2213" s="654">
        <v>216.16</v>
      </c>
      <c r="M2213" s="654" t="s">
        <v>98</v>
      </c>
    </row>
    <row r="2214" spans="12:13">
      <c r="L2214" s="654">
        <v>217.04</v>
      </c>
      <c r="M2214" s="654" t="s">
        <v>98</v>
      </c>
    </row>
    <row r="2215" spans="12:13">
      <c r="L2215" s="654">
        <v>217.06</v>
      </c>
      <c r="M2215" s="654" t="s">
        <v>98</v>
      </c>
    </row>
    <row r="2216" spans="12:13">
      <c r="L2216" s="654">
        <v>217.07</v>
      </c>
      <c r="M2216" s="654" t="s">
        <v>98</v>
      </c>
    </row>
    <row r="2217" spans="12:13">
      <c r="L2217" s="654">
        <v>217.08</v>
      </c>
      <c r="M2217" s="654" t="s">
        <v>98</v>
      </c>
    </row>
    <row r="2218" spans="12:13">
      <c r="L2218" s="654">
        <v>218.03</v>
      </c>
      <c r="M2218" s="654" t="s">
        <v>98</v>
      </c>
    </row>
    <row r="2219" spans="12:13">
      <c r="L2219" s="654">
        <v>218.05</v>
      </c>
      <c r="M2219" s="654" t="s">
        <v>98</v>
      </c>
    </row>
    <row r="2220" spans="12:13">
      <c r="L2220" s="654">
        <v>218.06</v>
      </c>
      <c r="M2220" s="654" t="s">
        <v>98</v>
      </c>
    </row>
    <row r="2221" spans="12:13">
      <c r="L2221" s="654">
        <v>219.01</v>
      </c>
      <c r="M2221" s="654" t="s">
        <v>98</v>
      </c>
    </row>
    <row r="2222" spans="12:13">
      <c r="L2222" s="654">
        <v>221.05</v>
      </c>
      <c r="M2222" s="654" t="s">
        <v>98</v>
      </c>
    </row>
    <row r="2223" spans="12:13">
      <c r="L2223" s="654">
        <v>221.06</v>
      </c>
      <c r="M2223" s="654" t="s">
        <v>98</v>
      </c>
    </row>
    <row r="2224" spans="12:13">
      <c r="L2224" s="654">
        <v>222.05</v>
      </c>
      <c r="M2224" s="654" t="s">
        <v>98</v>
      </c>
    </row>
    <row r="2225" spans="12:13">
      <c r="L2225" s="654">
        <v>222.06</v>
      </c>
      <c r="M2225" s="654" t="s">
        <v>98</v>
      </c>
    </row>
    <row r="2226" spans="12:13">
      <c r="L2226" s="654">
        <v>222.07</v>
      </c>
      <c r="M2226" s="654" t="s">
        <v>98</v>
      </c>
    </row>
    <row r="2227" spans="12:13">
      <c r="L2227" s="654">
        <v>9101</v>
      </c>
      <c r="M2227" s="654" t="s">
        <v>99</v>
      </c>
    </row>
    <row r="2228" spans="12:13">
      <c r="L2228" s="654">
        <v>9105</v>
      </c>
      <c r="M2228" s="654" t="s">
        <v>99</v>
      </c>
    </row>
    <row r="2229" spans="12:13">
      <c r="L2229" s="654">
        <v>9108</v>
      </c>
      <c r="M2229" s="654" t="s">
        <v>99</v>
      </c>
    </row>
    <row r="2230" spans="12:13">
      <c r="L2230" s="654">
        <v>9112</v>
      </c>
      <c r="M2230" s="654" t="s">
        <v>99</v>
      </c>
    </row>
    <row r="2231" spans="12:13">
      <c r="L2231" s="654">
        <v>9113.01</v>
      </c>
      <c r="M2231" s="654" t="s">
        <v>99</v>
      </c>
    </row>
    <row r="2232" spans="12:13">
      <c r="L2232" s="654">
        <v>9114</v>
      </c>
      <c r="M2232" s="654" t="s">
        <v>99</v>
      </c>
    </row>
    <row r="2233" spans="12:13">
      <c r="L2233" s="654">
        <v>9115</v>
      </c>
      <c r="M2233" s="654" t="s">
        <v>99</v>
      </c>
    </row>
    <row r="2234" spans="12:13">
      <c r="L2234" s="654">
        <v>9117.01</v>
      </c>
      <c r="M2234" s="654" t="s">
        <v>99</v>
      </c>
    </row>
    <row r="2235" spans="12:13">
      <c r="L2235" s="654">
        <v>9117.02</v>
      </c>
      <c r="M2235" s="654" t="s">
        <v>99</v>
      </c>
    </row>
    <row r="2236" spans="12:13">
      <c r="L2236" s="654">
        <v>9701</v>
      </c>
      <c r="M2236" s="654" t="s">
        <v>100</v>
      </c>
    </row>
    <row r="2237" spans="12:13">
      <c r="L2237" s="654">
        <v>9703.02</v>
      </c>
      <c r="M2237" s="654" t="s">
        <v>100</v>
      </c>
    </row>
    <row r="2238" spans="12:13">
      <c r="L2238" s="654">
        <v>9706</v>
      </c>
      <c r="M2238" s="654" t="s">
        <v>100</v>
      </c>
    </row>
    <row r="2239" spans="12:13">
      <c r="L2239" s="654">
        <v>9501</v>
      </c>
      <c r="M2239" s="654" t="s">
        <v>101</v>
      </c>
    </row>
    <row r="2240" spans="12:13">
      <c r="L2240" s="654">
        <v>9502</v>
      </c>
      <c r="M2240" s="654" t="s">
        <v>101</v>
      </c>
    </row>
    <row r="2241" spans="12:13">
      <c r="L2241" s="654">
        <v>9504</v>
      </c>
      <c r="M2241" s="654" t="s">
        <v>101</v>
      </c>
    </row>
    <row r="2242" spans="12:13">
      <c r="L2242" s="654">
        <v>9601</v>
      </c>
      <c r="M2242" s="654" t="s">
        <v>102</v>
      </c>
    </row>
    <row r="2243" spans="12:13">
      <c r="L2243" s="654">
        <v>9603</v>
      </c>
      <c r="M2243" s="654" t="s">
        <v>102</v>
      </c>
    </row>
    <row r="2244" spans="12:13">
      <c r="L2244" s="654">
        <v>801</v>
      </c>
      <c r="M2244" s="654" t="s">
        <v>103</v>
      </c>
    </row>
    <row r="2245" spans="12:13">
      <c r="L2245" s="654">
        <v>802.01</v>
      </c>
      <c r="M2245" s="654" t="s">
        <v>103</v>
      </c>
    </row>
    <row r="2246" spans="12:13">
      <c r="L2246" s="654">
        <v>803</v>
      </c>
      <c r="M2246" s="654" t="s">
        <v>103</v>
      </c>
    </row>
    <row r="2247" spans="12:13">
      <c r="L2247" s="654">
        <v>804</v>
      </c>
      <c r="M2247" s="654" t="s">
        <v>103</v>
      </c>
    </row>
    <row r="2248" spans="12:13">
      <c r="L2248" s="654">
        <v>805</v>
      </c>
      <c r="M2248" s="654" t="s">
        <v>103</v>
      </c>
    </row>
    <row r="2249" spans="12:13">
      <c r="L2249" s="654">
        <v>806</v>
      </c>
      <c r="M2249" s="654" t="s">
        <v>103</v>
      </c>
    </row>
    <row r="2250" spans="12:13">
      <c r="L2250" s="654">
        <v>807</v>
      </c>
      <c r="M2250" s="654" t="s">
        <v>103</v>
      </c>
    </row>
    <row r="2251" spans="12:13">
      <c r="L2251" s="654">
        <v>808.03</v>
      </c>
      <c r="M2251" s="654" t="s">
        <v>103</v>
      </c>
    </row>
    <row r="2252" spans="12:13">
      <c r="L2252" s="654">
        <v>808.06</v>
      </c>
      <c r="M2252" s="654" t="s">
        <v>103</v>
      </c>
    </row>
    <row r="2253" spans="12:13">
      <c r="L2253" s="654">
        <v>808.07</v>
      </c>
      <c r="M2253" s="654" t="s">
        <v>103</v>
      </c>
    </row>
    <row r="2254" spans="12:13">
      <c r="L2254" s="654">
        <v>811.02</v>
      </c>
      <c r="M2254" s="654" t="s">
        <v>103</v>
      </c>
    </row>
    <row r="2255" spans="12:13">
      <c r="L2255" s="654">
        <v>812</v>
      </c>
      <c r="M2255" s="654" t="s">
        <v>103</v>
      </c>
    </row>
    <row r="2256" spans="12:13">
      <c r="L2256" s="654">
        <v>813</v>
      </c>
      <c r="M2256" s="654" t="s">
        <v>103</v>
      </c>
    </row>
    <row r="2257" spans="12:13">
      <c r="L2257" s="654">
        <v>824.05</v>
      </c>
      <c r="M2257" s="654" t="s">
        <v>103</v>
      </c>
    </row>
    <row r="2258" spans="12:13">
      <c r="L2258" s="654">
        <v>824.06</v>
      </c>
      <c r="M2258" s="654" t="s">
        <v>103</v>
      </c>
    </row>
    <row r="2259" spans="12:13">
      <c r="L2259" s="654">
        <v>824.1</v>
      </c>
      <c r="M2259" s="654" t="s">
        <v>103</v>
      </c>
    </row>
    <row r="2260" spans="12:13">
      <c r="L2260" s="654">
        <v>824.11</v>
      </c>
      <c r="M2260" s="654" t="s">
        <v>103</v>
      </c>
    </row>
    <row r="2261" spans="12:13">
      <c r="L2261" s="654">
        <v>824.12</v>
      </c>
      <c r="M2261" s="654" t="s">
        <v>103</v>
      </c>
    </row>
    <row r="2262" spans="12:13">
      <c r="L2262" s="654">
        <v>824.13</v>
      </c>
      <c r="M2262" s="654" t="s">
        <v>103</v>
      </c>
    </row>
    <row r="2263" spans="12:13">
      <c r="L2263" s="654">
        <v>825.08</v>
      </c>
      <c r="M2263" s="654" t="s">
        <v>103</v>
      </c>
    </row>
    <row r="2264" spans="12:13">
      <c r="L2264" s="654">
        <v>825.09</v>
      </c>
      <c r="M2264" s="654" t="s">
        <v>103</v>
      </c>
    </row>
    <row r="2265" spans="12:13">
      <c r="L2265" s="654">
        <v>826.04</v>
      </c>
      <c r="M2265" s="654" t="s">
        <v>103</v>
      </c>
    </row>
    <row r="2266" spans="12:13">
      <c r="L2266" s="654">
        <v>826.05</v>
      </c>
      <c r="M2266" s="654" t="s">
        <v>103</v>
      </c>
    </row>
    <row r="2267" spans="12:13">
      <c r="L2267" s="654">
        <v>826.06</v>
      </c>
      <c r="M2267" s="654" t="s">
        <v>103</v>
      </c>
    </row>
    <row r="2268" spans="12:13">
      <c r="L2268" s="654">
        <v>826.07</v>
      </c>
      <c r="M2268" s="654" t="s">
        <v>103</v>
      </c>
    </row>
    <row r="2269" spans="12:13">
      <c r="L2269" s="654">
        <v>827.01</v>
      </c>
      <c r="M2269" s="654" t="s">
        <v>103</v>
      </c>
    </row>
    <row r="2270" spans="12:13">
      <c r="L2270" s="654">
        <v>827.03</v>
      </c>
      <c r="M2270" s="654" t="s">
        <v>103</v>
      </c>
    </row>
    <row r="2271" spans="12:13">
      <c r="L2271" s="654">
        <v>827.04</v>
      </c>
      <c r="M2271" s="654" t="s">
        <v>103</v>
      </c>
    </row>
    <row r="2272" spans="12:13">
      <c r="L2272" s="654">
        <v>827.05</v>
      </c>
      <c r="M2272" s="654" t="s">
        <v>103</v>
      </c>
    </row>
    <row r="2273" spans="12:13">
      <c r="L2273" s="654">
        <v>828.01</v>
      </c>
      <c r="M2273" s="654" t="s">
        <v>103</v>
      </c>
    </row>
    <row r="2274" spans="12:13">
      <c r="L2274" s="654">
        <v>828.02</v>
      </c>
      <c r="M2274" s="654" t="s">
        <v>103</v>
      </c>
    </row>
    <row r="2275" spans="12:13">
      <c r="L2275" s="654">
        <v>829.02</v>
      </c>
      <c r="M2275" s="654" t="s">
        <v>103</v>
      </c>
    </row>
    <row r="2276" spans="12:13">
      <c r="L2276" s="654">
        <v>829.04</v>
      </c>
      <c r="M2276" s="654" t="s">
        <v>103</v>
      </c>
    </row>
    <row r="2277" spans="12:13">
      <c r="L2277" s="654">
        <v>830.05</v>
      </c>
      <c r="M2277" s="654" t="s">
        <v>103</v>
      </c>
    </row>
    <row r="2278" spans="12:13">
      <c r="L2278" s="654">
        <v>830.06</v>
      </c>
      <c r="M2278" s="654" t="s">
        <v>103</v>
      </c>
    </row>
    <row r="2279" spans="12:13">
      <c r="L2279" s="654">
        <v>830.07</v>
      </c>
      <c r="M2279" s="654" t="s">
        <v>103</v>
      </c>
    </row>
    <row r="2280" spans="12:13">
      <c r="L2280" s="654">
        <v>830.09</v>
      </c>
      <c r="M2280" s="654" t="s">
        <v>103</v>
      </c>
    </row>
    <row r="2281" spans="12:13">
      <c r="L2281" s="654">
        <v>832.03</v>
      </c>
      <c r="M2281" s="654" t="s">
        <v>103</v>
      </c>
    </row>
    <row r="2282" spans="12:13">
      <c r="L2282" s="654">
        <v>832.05</v>
      </c>
      <c r="M2282" s="654" t="s">
        <v>103</v>
      </c>
    </row>
    <row r="2283" spans="12:13">
      <c r="L2283" s="654">
        <v>832.07</v>
      </c>
      <c r="M2283" s="654" t="s">
        <v>103</v>
      </c>
    </row>
    <row r="2284" spans="12:13">
      <c r="L2284" s="654">
        <v>832.08</v>
      </c>
      <c r="M2284" s="654" t="s">
        <v>103</v>
      </c>
    </row>
    <row r="2285" spans="12:13">
      <c r="L2285" s="654">
        <v>832.09</v>
      </c>
      <c r="M2285" s="654" t="s">
        <v>103</v>
      </c>
    </row>
    <row r="2286" spans="12:13">
      <c r="L2286" s="654">
        <v>901.01</v>
      </c>
      <c r="M2286" s="654" t="s">
        <v>103</v>
      </c>
    </row>
    <row r="2287" spans="12:13">
      <c r="L2287" s="654">
        <v>902.02</v>
      </c>
      <c r="M2287" s="654" t="s">
        <v>103</v>
      </c>
    </row>
    <row r="2288" spans="12:13">
      <c r="L2288" s="654">
        <v>902.03</v>
      </c>
      <c r="M2288" s="654" t="s">
        <v>103</v>
      </c>
    </row>
    <row r="2289" spans="12:13">
      <c r="L2289" s="654">
        <v>902.04</v>
      </c>
      <c r="M2289" s="654" t="s">
        <v>103</v>
      </c>
    </row>
    <row r="2290" spans="12:13">
      <c r="L2290" s="654">
        <v>903.04</v>
      </c>
      <c r="M2290" s="654" t="s">
        <v>103</v>
      </c>
    </row>
    <row r="2291" spans="12:13">
      <c r="L2291" s="654">
        <v>903.05</v>
      </c>
      <c r="M2291" s="654" t="s">
        <v>103</v>
      </c>
    </row>
    <row r="2292" spans="12:13">
      <c r="L2292" s="654">
        <v>903.06</v>
      </c>
      <c r="M2292" s="654" t="s">
        <v>103</v>
      </c>
    </row>
    <row r="2293" spans="12:13">
      <c r="L2293" s="654">
        <v>904</v>
      </c>
      <c r="M2293" s="654" t="s">
        <v>103</v>
      </c>
    </row>
    <row r="2294" spans="12:13">
      <c r="L2294" s="654">
        <v>907.01</v>
      </c>
      <c r="M2294" s="654" t="s">
        <v>103</v>
      </c>
    </row>
    <row r="2295" spans="12:13">
      <c r="L2295" s="654">
        <v>908.03</v>
      </c>
      <c r="M2295" s="654" t="s">
        <v>103</v>
      </c>
    </row>
    <row r="2296" spans="12:13">
      <c r="L2296" s="654">
        <v>908.05</v>
      </c>
      <c r="M2296" s="654" t="s">
        <v>103</v>
      </c>
    </row>
    <row r="2297" spans="12:13">
      <c r="L2297" s="654">
        <v>909.02</v>
      </c>
      <c r="M2297" s="654" t="s">
        <v>103</v>
      </c>
    </row>
    <row r="2298" spans="12:13">
      <c r="L2298" s="654">
        <v>909.03</v>
      </c>
      <c r="M2298" s="654" t="s">
        <v>103</v>
      </c>
    </row>
    <row r="2299" spans="12:13">
      <c r="L2299" s="654">
        <v>909.04</v>
      </c>
      <c r="M2299" s="654" t="s">
        <v>103</v>
      </c>
    </row>
    <row r="2300" spans="12:13">
      <c r="L2300" s="654">
        <v>910.01</v>
      </c>
      <c r="M2300" s="654" t="s">
        <v>103</v>
      </c>
    </row>
    <row r="2301" spans="12:13">
      <c r="L2301" s="654">
        <v>910.05</v>
      </c>
      <c r="M2301" s="654" t="s">
        <v>103</v>
      </c>
    </row>
    <row r="2302" spans="12:13">
      <c r="L2302" s="654">
        <v>910.15</v>
      </c>
      <c r="M2302" s="654" t="s">
        <v>103</v>
      </c>
    </row>
    <row r="2303" spans="12:13">
      <c r="L2303" s="654">
        <v>910.17</v>
      </c>
      <c r="M2303" s="654" t="s">
        <v>103</v>
      </c>
    </row>
    <row r="2304" spans="12:13">
      <c r="L2304" s="654">
        <v>910.19</v>
      </c>
      <c r="M2304" s="654" t="s">
        <v>103</v>
      </c>
    </row>
    <row r="2305" spans="12:13">
      <c r="L2305" s="654">
        <v>910.2</v>
      </c>
      <c r="M2305" s="654" t="s">
        <v>103</v>
      </c>
    </row>
    <row r="2306" spans="12:13">
      <c r="L2306" s="654">
        <v>910.21</v>
      </c>
      <c r="M2306" s="654" t="s">
        <v>103</v>
      </c>
    </row>
    <row r="2307" spans="12:13">
      <c r="L2307" s="654">
        <v>910.22</v>
      </c>
      <c r="M2307" s="654" t="s">
        <v>103</v>
      </c>
    </row>
    <row r="2308" spans="12:13">
      <c r="L2308" s="654">
        <v>910.23</v>
      </c>
      <c r="M2308" s="654" t="s">
        <v>103</v>
      </c>
    </row>
    <row r="2309" spans="12:13">
      <c r="L2309" s="654">
        <v>910.26</v>
      </c>
      <c r="M2309" s="654" t="s">
        <v>103</v>
      </c>
    </row>
    <row r="2310" spans="12:13">
      <c r="L2310" s="654">
        <v>910.29</v>
      </c>
      <c r="M2310" s="654" t="s">
        <v>103</v>
      </c>
    </row>
    <row r="2311" spans="12:13">
      <c r="L2311" s="654">
        <v>101</v>
      </c>
      <c r="M2311" s="654" t="s">
        <v>104</v>
      </c>
    </row>
    <row r="2312" spans="12:13">
      <c r="L2312" s="654">
        <v>102.01</v>
      </c>
      <c r="M2312" s="654" t="s">
        <v>104</v>
      </c>
    </row>
    <row r="2313" spans="12:13">
      <c r="L2313" s="654">
        <v>9501.01</v>
      </c>
      <c r="M2313" s="654" t="s">
        <v>105</v>
      </c>
    </row>
    <row r="2314" spans="12:13">
      <c r="L2314" s="654">
        <v>9501.02</v>
      </c>
      <c r="M2314" s="654" t="s">
        <v>105</v>
      </c>
    </row>
    <row r="2315" spans="12:13">
      <c r="L2315" s="654">
        <v>9503.02</v>
      </c>
      <c r="M2315" s="654" t="s">
        <v>105</v>
      </c>
    </row>
    <row r="2316" spans="12:13">
      <c r="L2316" s="654">
        <v>9505.02</v>
      </c>
      <c r="M2316" s="654" t="s">
        <v>105</v>
      </c>
    </row>
    <row r="2317" spans="12:13">
      <c r="L2317" s="654">
        <v>9506.01</v>
      </c>
      <c r="M2317" s="654" t="s">
        <v>105</v>
      </c>
    </row>
    <row r="2318" spans="12:13">
      <c r="L2318" s="654">
        <v>9506.02</v>
      </c>
      <c r="M2318" s="654" t="s">
        <v>105</v>
      </c>
    </row>
    <row r="2319" spans="12:13">
      <c r="L2319" s="654">
        <v>9506.0300000000007</v>
      </c>
      <c r="M2319" s="654" t="s">
        <v>105</v>
      </c>
    </row>
    <row r="2320" spans="12:13">
      <c r="L2320" s="654">
        <v>9701.02</v>
      </c>
      <c r="M2320" s="654" t="s">
        <v>106</v>
      </c>
    </row>
    <row r="2321" spans="12:13">
      <c r="L2321" s="654">
        <v>9701.0400000000009</v>
      </c>
      <c r="M2321" s="654" t="s">
        <v>106</v>
      </c>
    </row>
    <row r="2322" spans="12:13">
      <c r="L2322" s="654">
        <v>9703.01</v>
      </c>
      <c r="M2322" s="654" t="s">
        <v>106</v>
      </c>
    </row>
    <row r="2323" spans="12:13">
      <c r="L2323" s="654">
        <v>9703.0300000000007</v>
      </c>
      <c r="M2323" s="654" t="s">
        <v>106</v>
      </c>
    </row>
  </sheetData>
  <sheetProtection algorithmName="SHA-512" hashValue="s5oQU2uryNYXZYFAdCwrN59QA9I10c2ALrKkyzouHuV0eMgA0ecj46l/LQ6M0d2xstTOTvRl7oAfI0cTRPqqIA==" saltValue="YJhDUf29tUurNGyncQNMzg==" spinCount="100000" sheet="1" objects="1" scenarios="1" selectLockedCells="1"/>
  <sortState xmlns:xlrd2="http://schemas.microsoft.com/office/spreadsheetml/2017/richdata2" ref="S23:AC111">
    <sortCondition ref="S23:S111"/>
    <sortCondition ref="U23:U111"/>
  </sortState>
  <mergeCells count="11">
    <mergeCell ref="I8:O8"/>
    <mergeCell ref="L22:M22"/>
    <mergeCell ref="I54:J54"/>
    <mergeCell ref="A22:B22"/>
    <mergeCell ref="F22:G22"/>
    <mergeCell ref="I22:J22"/>
    <mergeCell ref="A3:O3"/>
    <mergeCell ref="I4:O4"/>
    <mergeCell ref="I5:O5"/>
    <mergeCell ref="I6:O6"/>
    <mergeCell ref="I7:O7"/>
  </mergeCells>
  <conditionalFormatting sqref="A23:A189 A191:A196 A198:A272 A274:A280 A282:A296 A298:A370">
    <cfRule type="expression" dxfId="649" priority="93">
      <formula>A23=A24</formula>
    </cfRule>
  </conditionalFormatting>
  <conditionalFormatting sqref="Y135:Y141">
    <cfRule type="cellIs" dxfId="648" priority="46" operator="equal">
      <formula>"Y"</formula>
    </cfRule>
  </conditionalFormatting>
  <conditionalFormatting sqref="Y135:Y141">
    <cfRule type="cellIs" dxfId="647" priority="45" operator="equal">
      <formula>"y"</formula>
    </cfRule>
  </conditionalFormatting>
  <conditionalFormatting sqref="W32:W33 W23:W24 W54 W64:W67 W69:W70 W26:W30 W57:W62 W40:W42 W44:W45 W50:W52">
    <cfRule type="cellIs" dxfId="646" priority="44" operator="greaterThan">
      <formula>0</formula>
    </cfRule>
  </conditionalFormatting>
  <conditionalFormatting sqref="W51">
    <cfRule type="cellIs" dxfId="645" priority="42" operator="greaterThan">
      <formula>0</formula>
    </cfRule>
  </conditionalFormatting>
  <conditionalFormatting sqref="W31">
    <cfRule type="cellIs" dxfId="644" priority="41" operator="greaterThan">
      <formula>0</formula>
    </cfRule>
  </conditionalFormatting>
  <conditionalFormatting sqref="W34">
    <cfRule type="cellIs" dxfId="643" priority="40" operator="greaterThan">
      <formula>0</formula>
    </cfRule>
  </conditionalFormatting>
  <conditionalFormatting sqref="W35">
    <cfRule type="cellIs" dxfId="642" priority="39" operator="greaterThan">
      <formula>0</formula>
    </cfRule>
  </conditionalFormatting>
  <conditionalFormatting sqref="W35">
    <cfRule type="cellIs" dxfId="641" priority="38" operator="greaterThan">
      <formula>0</formula>
    </cfRule>
  </conditionalFormatting>
  <conditionalFormatting sqref="W44">
    <cfRule type="cellIs" dxfId="640" priority="36" operator="greaterThan">
      <formula>0</formula>
    </cfRule>
  </conditionalFormatting>
  <conditionalFormatting sqref="W44">
    <cfRule type="cellIs" dxfId="639" priority="35" operator="greaterThan">
      <formula>0</formula>
    </cfRule>
  </conditionalFormatting>
  <conditionalFormatting sqref="W25">
    <cfRule type="cellIs" dxfId="638" priority="30" operator="greaterThan">
      <formula>0</formula>
    </cfRule>
  </conditionalFormatting>
  <conditionalFormatting sqref="W39">
    <cfRule type="cellIs" dxfId="637" priority="29" operator="greaterThan">
      <formula>0</formula>
    </cfRule>
  </conditionalFormatting>
  <conditionalFormatting sqref="W53">
    <cfRule type="cellIs" dxfId="636" priority="28" operator="greaterThan">
      <formula>0</formula>
    </cfRule>
  </conditionalFormatting>
  <conditionalFormatting sqref="W55">
    <cfRule type="cellIs" dxfId="635" priority="27" operator="greaterThan">
      <formula>0</formula>
    </cfRule>
  </conditionalFormatting>
  <conditionalFormatting sqref="W56">
    <cfRule type="cellIs" dxfId="634" priority="26" operator="greaterThan">
      <formula>0</formula>
    </cfRule>
  </conditionalFormatting>
  <conditionalFormatting sqref="W63">
    <cfRule type="cellIs" dxfId="633" priority="25" operator="greaterThan">
      <formula>0</formula>
    </cfRule>
  </conditionalFormatting>
  <conditionalFormatting sqref="W68">
    <cfRule type="cellIs" dxfId="632" priority="24" operator="greaterThan">
      <formula>0</formula>
    </cfRule>
  </conditionalFormatting>
  <conditionalFormatting sqref="Y105:Y134">
    <cfRule type="cellIs" dxfId="631" priority="2" operator="equal">
      <formula>"Y"</formula>
    </cfRule>
  </conditionalFormatting>
  <conditionalFormatting sqref="Y105:Y134">
    <cfRule type="cellIs" dxfId="630" priority="1" operator="equal">
      <formula>"y"</formula>
    </cfRule>
  </conditionalFormatting>
  <pageMargins left="0.7" right="0.7" top="0.75" bottom="0.75" header="0.3" footer="0.3"/>
  <pageSetup scale="8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94" id="{C8610007-D5C9-49A8-BED7-5D958E7B8C9A}">
            <xm:f>A190=Data1!#REF!</xm:f>
            <x14:dxf>
              <fill>
                <patternFill>
                  <bgColor rgb="FFFFCCFF"/>
                </patternFill>
              </fill>
            </x14:dxf>
          </x14:cfRule>
          <xm:sqref>A190 A197 A273 A281 A297</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2:P237"/>
  <sheetViews>
    <sheetView topLeftCell="A94" zoomScaleNormal="100" workbookViewId="0">
      <selection activeCell="C80" sqref="C80"/>
    </sheetView>
  </sheetViews>
  <sheetFormatPr defaultRowHeight="14.4"/>
  <cols>
    <col min="1" max="1" width="11.44140625" customWidth="1"/>
    <col min="3" max="4" width="15" customWidth="1"/>
    <col min="5" max="5" width="4.5546875" style="206" customWidth="1"/>
    <col min="6" max="12" width="15" customWidth="1"/>
    <col min="13" max="13" width="18.6640625" customWidth="1"/>
    <col min="14" max="16" width="15" customWidth="1"/>
  </cols>
  <sheetData>
    <row r="2" spans="1:16">
      <c r="E2" s="1807" t="s">
        <v>714</v>
      </c>
    </row>
    <row r="3" spans="1:16" ht="15.6">
      <c r="A3" s="404" t="s">
        <v>896</v>
      </c>
      <c r="B3" s="233"/>
      <c r="C3" s="233"/>
      <c r="D3" s="233"/>
      <c r="E3" s="1807"/>
    </row>
    <row r="4" spans="1:16">
      <c r="B4" s="233"/>
      <c r="C4" s="233"/>
      <c r="D4" s="233"/>
      <c r="E4" s="1807"/>
      <c r="G4" s="233"/>
    </row>
    <row r="5" spans="1:16">
      <c r="B5" s="232"/>
      <c r="C5" s="232"/>
      <c r="D5" s="232"/>
      <c r="E5" s="1807"/>
      <c r="G5" s="232"/>
      <c r="L5" s="232"/>
      <c r="M5" s="232"/>
      <c r="N5" s="232"/>
      <c r="O5" s="207"/>
      <c r="P5" s="207"/>
    </row>
    <row r="6" spans="1:16">
      <c r="E6" s="1807"/>
      <c r="F6" s="229" t="s">
        <v>723</v>
      </c>
      <c r="G6" s="1808" t="s">
        <v>1527</v>
      </c>
      <c r="H6" s="1809"/>
      <c r="I6" s="1809"/>
      <c r="J6" s="1809"/>
      <c r="K6" s="1810"/>
      <c r="L6" s="1745" t="s">
        <v>1528</v>
      </c>
      <c r="M6" s="1747"/>
      <c r="N6" s="511"/>
    </row>
    <row r="7" spans="1:16">
      <c r="A7" s="209">
        <v>1</v>
      </c>
      <c r="B7" s="209">
        <v>2</v>
      </c>
      <c r="C7" s="364">
        <v>3</v>
      </c>
      <c r="D7" s="364">
        <v>4</v>
      </c>
      <c r="E7" s="1807"/>
      <c r="F7" s="225">
        <v>6</v>
      </c>
      <c r="G7" s="209">
        <v>7</v>
      </c>
      <c r="H7" s="209">
        <v>8</v>
      </c>
      <c r="I7" s="220">
        <v>9</v>
      </c>
      <c r="J7" s="220">
        <v>10</v>
      </c>
      <c r="K7" s="220">
        <v>11</v>
      </c>
      <c r="L7" s="474">
        <v>12</v>
      </c>
      <c r="M7" s="474">
        <v>13</v>
      </c>
      <c r="N7" s="474">
        <v>14</v>
      </c>
      <c r="O7" s="228">
        <v>15</v>
      </c>
      <c r="P7" s="228">
        <v>16</v>
      </c>
    </row>
    <row r="8" spans="1:16" ht="28.8">
      <c r="A8" s="210" t="s">
        <v>709</v>
      </c>
      <c r="B8" s="210" t="s">
        <v>710</v>
      </c>
      <c r="C8" s="365" t="s">
        <v>870</v>
      </c>
      <c r="D8" s="365" t="s">
        <v>871</v>
      </c>
      <c r="E8" s="1807"/>
      <c r="F8" s="215" t="s">
        <v>717</v>
      </c>
      <c r="G8" s="216" t="s">
        <v>718</v>
      </c>
      <c r="H8" s="216" t="s">
        <v>719</v>
      </c>
      <c r="I8" s="216" t="s">
        <v>720</v>
      </c>
      <c r="J8" s="215" t="s">
        <v>721</v>
      </c>
      <c r="K8" s="222" t="s">
        <v>722</v>
      </c>
      <c r="L8" s="473" t="s">
        <v>949</v>
      </c>
      <c r="M8" s="473" t="s">
        <v>950</v>
      </c>
      <c r="N8" s="513" t="s">
        <v>1529</v>
      </c>
    </row>
    <row r="9" spans="1:16" ht="15" customHeight="1">
      <c r="A9" t="s">
        <v>2</v>
      </c>
      <c r="B9" t="s">
        <v>711</v>
      </c>
      <c r="C9" s="514" t="s">
        <v>712</v>
      </c>
      <c r="D9" s="514" t="s">
        <v>712</v>
      </c>
      <c r="E9" s="224"/>
      <c r="K9" s="221"/>
    </row>
    <row r="10" spans="1:16" ht="15" customHeight="1">
      <c r="A10" s="196" t="s">
        <v>27</v>
      </c>
      <c r="B10" s="92" t="s">
        <v>28</v>
      </c>
      <c r="C10" s="211">
        <v>37500</v>
      </c>
      <c r="D10" s="211">
        <v>460000</v>
      </c>
      <c r="E10" s="167" t="s">
        <v>715</v>
      </c>
      <c r="F10" s="217">
        <f>IF(B10="Medium",1700000,IF(B10="Large",2375000,""))</f>
        <v>1700000</v>
      </c>
      <c r="G10" s="218">
        <v>79300</v>
      </c>
      <c r="H10" s="219">
        <v>79300</v>
      </c>
      <c r="I10" s="219">
        <v>93200</v>
      </c>
      <c r="J10" s="219">
        <v>105000</v>
      </c>
      <c r="K10" s="223">
        <v>105000</v>
      </c>
      <c r="L10" s="218">
        <v>223000</v>
      </c>
      <c r="M10" s="219">
        <v>176000</v>
      </c>
      <c r="N10" s="512">
        <v>0.33</v>
      </c>
      <c r="O10" s="219"/>
      <c r="P10" s="223"/>
    </row>
    <row r="11" spans="1:16" ht="15" customHeight="1">
      <c r="A11" s="196" t="s">
        <v>30</v>
      </c>
      <c r="B11" s="92" t="s">
        <v>31</v>
      </c>
      <c r="C11" s="211">
        <v>2500</v>
      </c>
      <c r="D11" s="431" t="s">
        <v>712</v>
      </c>
      <c r="E11" s="167" t="s">
        <v>715</v>
      </c>
      <c r="F11" s="217" t="str">
        <f t="shared" ref="F11:F74" si="0">IF(B11="Medium",1700000,IF(B11="Large",2375000,""))</f>
        <v/>
      </c>
      <c r="G11" s="218">
        <v>78800</v>
      </c>
      <c r="H11" s="219">
        <v>78800</v>
      </c>
      <c r="I11" s="219">
        <v>92100</v>
      </c>
      <c r="J11" s="219">
        <v>103900</v>
      </c>
      <c r="K11" s="223">
        <v>103900</v>
      </c>
      <c r="L11" s="218">
        <v>221100</v>
      </c>
      <c r="M11" s="219">
        <v>174500</v>
      </c>
      <c r="N11" s="512">
        <v>0.33</v>
      </c>
      <c r="O11" s="219"/>
      <c r="P11" s="223"/>
    </row>
    <row r="12" spans="1:16" ht="15" customHeight="1">
      <c r="A12" s="196" t="s">
        <v>33</v>
      </c>
      <c r="B12" s="92" t="s">
        <v>28</v>
      </c>
      <c r="C12" s="211">
        <v>20000</v>
      </c>
      <c r="D12" s="211">
        <v>340000</v>
      </c>
      <c r="E12" s="167" t="s">
        <v>715</v>
      </c>
      <c r="F12" s="217">
        <f t="shared" si="0"/>
        <v>1700000</v>
      </c>
      <c r="G12" s="218">
        <v>67300</v>
      </c>
      <c r="H12" s="219">
        <v>67300</v>
      </c>
      <c r="I12" s="219">
        <v>79000</v>
      </c>
      <c r="J12" s="219">
        <v>89100</v>
      </c>
      <c r="K12" s="223">
        <v>89100</v>
      </c>
      <c r="L12" s="218">
        <v>204700</v>
      </c>
      <c r="M12" s="219">
        <v>161500</v>
      </c>
      <c r="N12" s="512">
        <v>0.35</v>
      </c>
      <c r="O12" s="219"/>
      <c r="P12" s="223"/>
    </row>
    <row r="13" spans="1:16" ht="15" customHeight="1">
      <c r="A13" s="196" t="s">
        <v>35</v>
      </c>
      <c r="B13" s="92" t="s">
        <v>31</v>
      </c>
      <c r="C13" s="211">
        <v>5000</v>
      </c>
      <c r="D13" s="431" t="s">
        <v>712</v>
      </c>
      <c r="E13" s="213" t="s">
        <v>716</v>
      </c>
      <c r="F13" s="217" t="str">
        <f t="shared" si="0"/>
        <v/>
      </c>
      <c r="G13" s="218">
        <v>43600</v>
      </c>
      <c r="H13" s="219">
        <v>43600</v>
      </c>
      <c r="I13" s="219">
        <v>51000</v>
      </c>
      <c r="J13" s="219">
        <v>57600</v>
      </c>
      <c r="K13" s="223">
        <v>57600</v>
      </c>
      <c r="L13" s="218">
        <v>165300</v>
      </c>
      <c r="M13" s="219">
        <v>130600</v>
      </c>
      <c r="N13" s="512">
        <v>0.4</v>
      </c>
      <c r="O13" s="219"/>
      <c r="P13" s="223"/>
    </row>
    <row r="14" spans="1:16" ht="15" customHeight="1">
      <c r="A14" s="196" t="s">
        <v>36</v>
      </c>
      <c r="B14" s="92" t="s">
        <v>28</v>
      </c>
      <c r="C14" s="211">
        <v>50000</v>
      </c>
      <c r="D14" s="211">
        <v>460000</v>
      </c>
      <c r="E14" s="167" t="s">
        <v>715</v>
      </c>
      <c r="F14" s="217">
        <f t="shared" si="0"/>
        <v>1700000</v>
      </c>
      <c r="G14" s="218">
        <v>78800</v>
      </c>
      <c r="H14" s="219">
        <v>78800</v>
      </c>
      <c r="I14" s="219">
        <v>92100</v>
      </c>
      <c r="J14" s="219">
        <v>103900</v>
      </c>
      <c r="K14" s="223">
        <v>103900</v>
      </c>
      <c r="L14" s="218">
        <v>221100</v>
      </c>
      <c r="M14" s="219">
        <v>174500</v>
      </c>
      <c r="N14" s="512">
        <v>0.33</v>
      </c>
      <c r="O14" s="219"/>
      <c r="P14" s="223"/>
    </row>
    <row r="15" spans="1:16" ht="15" customHeight="1">
      <c r="A15" s="196" t="s">
        <v>37</v>
      </c>
      <c r="B15" s="92" t="s">
        <v>38</v>
      </c>
      <c r="C15" s="211">
        <v>100000</v>
      </c>
      <c r="D15" s="211">
        <v>640000</v>
      </c>
      <c r="E15" s="167" t="s">
        <v>715</v>
      </c>
      <c r="F15" s="217">
        <f t="shared" si="0"/>
        <v>2375000</v>
      </c>
      <c r="G15" s="218">
        <v>97500</v>
      </c>
      <c r="H15" s="219">
        <v>97500</v>
      </c>
      <c r="I15" s="219">
        <v>114500</v>
      </c>
      <c r="J15" s="219">
        <v>129100</v>
      </c>
      <c r="K15" s="223">
        <v>129100</v>
      </c>
      <c r="L15" s="218">
        <v>246700</v>
      </c>
      <c r="M15" s="219">
        <v>194700</v>
      </c>
      <c r="N15" s="512">
        <v>0.3</v>
      </c>
      <c r="O15" s="219"/>
      <c r="P15" s="223"/>
    </row>
    <row r="16" spans="1:16" ht="15" customHeight="1">
      <c r="A16" s="196" t="s">
        <v>40</v>
      </c>
      <c r="B16" s="92" t="s">
        <v>31</v>
      </c>
      <c r="C16" s="211">
        <v>2500</v>
      </c>
      <c r="D16" s="431" t="s">
        <v>712</v>
      </c>
      <c r="E16" s="213" t="s">
        <v>716</v>
      </c>
      <c r="F16" s="217" t="str">
        <f t="shared" si="0"/>
        <v/>
      </c>
      <c r="G16" s="218">
        <v>44400</v>
      </c>
      <c r="H16" s="219">
        <v>44400</v>
      </c>
      <c r="I16" s="219">
        <v>52100</v>
      </c>
      <c r="J16" s="219">
        <v>58700</v>
      </c>
      <c r="K16" s="223">
        <v>58700</v>
      </c>
      <c r="L16" s="218">
        <v>168800</v>
      </c>
      <c r="M16" s="219">
        <v>133300</v>
      </c>
      <c r="N16" s="512">
        <v>0.4</v>
      </c>
      <c r="O16" s="219"/>
      <c r="P16" s="223"/>
    </row>
    <row r="17" spans="1:16" ht="15" customHeight="1">
      <c r="A17" s="196" t="s">
        <v>42</v>
      </c>
      <c r="B17" s="92" t="s">
        <v>28</v>
      </c>
      <c r="C17" s="211">
        <v>20000</v>
      </c>
      <c r="D17" s="211">
        <v>340000</v>
      </c>
      <c r="E17" s="167" t="s">
        <v>715</v>
      </c>
      <c r="F17" s="217">
        <f t="shared" si="0"/>
        <v>1700000</v>
      </c>
      <c r="G17" s="218">
        <v>52000</v>
      </c>
      <c r="H17" s="219">
        <v>52000</v>
      </c>
      <c r="I17" s="219">
        <v>60900</v>
      </c>
      <c r="J17" s="219">
        <v>68700</v>
      </c>
      <c r="K17" s="223">
        <v>68700</v>
      </c>
      <c r="L17" s="218">
        <v>197400</v>
      </c>
      <c r="M17" s="219">
        <v>155800</v>
      </c>
      <c r="N17" s="512">
        <v>0.4</v>
      </c>
      <c r="O17" s="219"/>
      <c r="P17" s="223"/>
    </row>
    <row r="18" spans="1:16" ht="15" customHeight="1">
      <c r="A18" s="196" t="s">
        <v>43</v>
      </c>
      <c r="B18" s="92" t="s">
        <v>28</v>
      </c>
      <c r="C18" s="211">
        <v>20000</v>
      </c>
      <c r="D18" s="211">
        <v>340000</v>
      </c>
      <c r="E18" s="167" t="s">
        <v>715</v>
      </c>
      <c r="F18" s="217">
        <f t="shared" si="0"/>
        <v>1700000</v>
      </c>
      <c r="G18" s="218">
        <v>44400</v>
      </c>
      <c r="H18" s="219">
        <v>44400</v>
      </c>
      <c r="I18" s="219">
        <v>52100</v>
      </c>
      <c r="J18" s="219">
        <v>58700</v>
      </c>
      <c r="K18" s="223">
        <v>58700</v>
      </c>
      <c r="L18" s="218">
        <v>168800</v>
      </c>
      <c r="M18" s="219">
        <v>133300</v>
      </c>
      <c r="N18" s="512">
        <v>0.4</v>
      </c>
      <c r="O18" s="219"/>
      <c r="P18" s="223"/>
    </row>
    <row r="19" spans="1:16" ht="15" customHeight="1">
      <c r="A19" s="196" t="s">
        <v>44</v>
      </c>
      <c r="B19" s="92" t="s">
        <v>28</v>
      </c>
      <c r="C19" s="211">
        <v>20000</v>
      </c>
      <c r="D19" s="211">
        <v>340000</v>
      </c>
      <c r="E19" s="167" t="s">
        <v>715</v>
      </c>
      <c r="F19" s="217">
        <f t="shared" si="0"/>
        <v>1700000</v>
      </c>
      <c r="G19" s="218">
        <v>81100</v>
      </c>
      <c r="H19" s="219">
        <v>81100</v>
      </c>
      <c r="I19" s="219">
        <v>94900</v>
      </c>
      <c r="J19" s="219">
        <v>107000</v>
      </c>
      <c r="K19" s="223">
        <v>107000</v>
      </c>
      <c r="L19" s="218">
        <v>227600</v>
      </c>
      <c r="M19" s="219">
        <v>179800</v>
      </c>
      <c r="N19" s="512">
        <v>0.33</v>
      </c>
      <c r="O19" s="219"/>
      <c r="P19" s="223"/>
    </row>
    <row r="20" spans="1:16" ht="15" customHeight="1">
      <c r="A20" s="196" t="s">
        <v>45</v>
      </c>
      <c r="B20" s="92" t="s">
        <v>28</v>
      </c>
      <c r="C20" s="211">
        <v>37500</v>
      </c>
      <c r="D20" s="211">
        <v>460000</v>
      </c>
      <c r="E20" s="167" t="s">
        <v>715</v>
      </c>
      <c r="F20" s="217">
        <f t="shared" si="0"/>
        <v>1700000</v>
      </c>
      <c r="G20" s="218">
        <v>108400</v>
      </c>
      <c r="H20" s="219">
        <v>108400</v>
      </c>
      <c r="I20" s="219">
        <v>126800</v>
      </c>
      <c r="J20" s="219">
        <v>143100</v>
      </c>
      <c r="K20" s="223">
        <v>143100</v>
      </c>
      <c r="L20" s="218">
        <v>257000</v>
      </c>
      <c r="M20" s="219">
        <v>202800</v>
      </c>
      <c r="N20" s="512">
        <v>0.28000000000000003</v>
      </c>
      <c r="O20" s="219"/>
      <c r="P20" s="223"/>
    </row>
    <row r="21" spans="1:16" ht="15" customHeight="1">
      <c r="A21" s="196" t="s">
        <v>46</v>
      </c>
      <c r="B21" s="92" t="s">
        <v>31</v>
      </c>
      <c r="C21" s="211">
        <v>10000</v>
      </c>
      <c r="D21" s="431" t="s">
        <v>712</v>
      </c>
      <c r="E21" s="214" t="s">
        <v>716</v>
      </c>
      <c r="F21" s="217" t="str">
        <f t="shared" si="0"/>
        <v/>
      </c>
      <c r="G21" s="218">
        <v>47000</v>
      </c>
      <c r="H21" s="219">
        <v>47000</v>
      </c>
      <c r="I21" s="219">
        <v>55100</v>
      </c>
      <c r="J21" s="219">
        <v>62200</v>
      </c>
      <c r="K21" s="223">
        <v>62200</v>
      </c>
      <c r="L21" s="218">
        <v>178300</v>
      </c>
      <c r="M21" s="219">
        <v>140900</v>
      </c>
      <c r="N21" s="512">
        <v>0.4</v>
      </c>
      <c r="O21" s="219"/>
      <c r="P21" s="223"/>
    </row>
    <row r="22" spans="1:16" ht="15" customHeight="1">
      <c r="A22" s="196" t="s">
        <v>48</v>
      </c>
      <c r="B22" s="92" t="s">
        <v>31</v>
      </c>
      <c r="C22" s="211">
        <v>5000</v>
      </c>
      <c r="D22" s="431" t="s">
        <v>712</v>
      </c>
      <c r="E22" s="214" t="s">
        <v>716</v>
      </c>
      <c r="F22" s="217" t="str">
        <f t="shared" si="0"/>
        <v/>
      </c>
      <c r="G22" s="218">
        <v>43600</v>
      </c>
      <c r="H22" s="219">
        <v>43600</v>
      </c>
      <c r="I22" s="219">
        <v>51000</v>
      </c>
      <c r="J22" s="219">
        <v>57600</v>
      </c>
      <c r="K22" s="223">
        <v>57600</v>
      </c>
      <c r="L22" s="218">
        <v>165300</v>
      </c>
      <c r="M22" s="219">
        <v>130600</v>
      </c>
      <c r="N22" s="512">
        <v>0.4</v>
      </c>
      <c r="O22" s="219"/>
      <c r="P22" s="223"/>
    </row>
    <row r="23" spans="1:16" ht="15" customHeight="1">
      <c r="A23" s="196" t="s">
        <v>49</v>
      </c>
      <c r="B23" s="92" t="s">
        <v>31</v>
      </c>
      <c r="C23" s="211">
        <v>2500</v>
      </c>
      <c r="D23" s="431" t="s">
        <v>712</v>
      </c>
      <c r="E23" s="214" t="s">
        <v>716</v>
      </c>
      <c r="F23" s="217" t="str">
        <f t="shared" si="0"/>
        <v/>
      </c>
      <c r="G23" s="218">
        <v>43600</v>
      </c>
      <c r="H23" s="219">
        <v>43600</v>
      </c>
      <c r="I23" s="219">
        <v>51000</v>
      </c>
      <c r="J23" s="219">
        <v>57600</v>
      </c>
      <c r="K23" s="223">
        <v>57600</v>
      </c>
      <c r="L23" s="218">
        <v>165300</v>
      </c>
      <c r="M23" s="219">
        <v>130600</v>
      </c>
      <c r="N23" s="512">
        <v>0.4</v>
      </c>
      <c r="O23" s="219"/>
      <c r="P23" s="223"/>
    </row>
    <row r="24" spans="1:16" ht="15" customHeight="1">
      <c r="A24" s="196" t="s">
        <v>50</v>
      </c>
      <c r="B24" s="92" t="s">
        <v>38</v>
      </c>
      <c r="C24" s="211">
        <v>75000</v>
      </c>
      <c r="D24" s="211">
        <v>610000</v>
      </c>
      <c r="E24" s="167" t="s">
        <v>715</v>
      </c>
      <c r="F24" s="217">
        <f t="shared" si="0"/>
        <v>2375000</v>
      </c>
      <c r="G24" s="218">
        <v>81100</v>
      </c>
      <c r="H24" s="219">
        <v>81100</v>
      </c>
      <c r="I24" s="219">
        <v>94900</v>
      </c>
      <c r="J24" s="219">
        <v>107000</v>
      </c>
      <c r="K24" s="223">
        <v>107000</v>
      </c>
      <c r="L24" s="218">
        <v>227600</v>
      </c>
      <c r="M24" s="219">
        <v>179800</v>
      </c>
      <c r="N24" s="512">
        <v>0.33</v>
      </c>
      <c r="O24" s="219"/>
      <c r="P24" s="223"/>
    </row>
    <row r="25" spans="1:16" ht="15" customHeight="1">
      <c r="A25" s="196" t="s">
        <v>52</v>
      </c>
      <c r="B25" s="92" t="s">
        <v>28</v>
      </c>
      <c r="C25" s="211">
        <v>37500</v>
      </c>
      <c r="D25" s="211">
        <v>460000</v>
      </c>
      <c r="E25" s="167" t="s">
        <v>715</v>
      </c>
      <c r="F25" s="217">
        <f t="shared" si="0"/>
        <v>1700000</v>
      </c>
      <c r="G25" s="218">
        <v>69400</v>
      </c>
      <c r="H25" s="219">
        <v>69400</v>
      </c>
      <c r="I25" s="219">
        <v>81200</v>
      </c>
      <c r="J25" s="219">
        <v>91700</v>
      </c>
      <c r="K25" s="223">
        <v>91700</v>
      </c>
      <c r="L25" s="218">
        <v>210400</v>
      </c>
      <c r="M25" s="219">
        <v>166100</v>
      </c>
      <c r="N25" s="512">
        <v>0.35</v>
      </c>
      <c r="O25" s="219"/>
      <c r="P25" s="223"/>
    </row>
    <row r="26" spans="1:16" ht="15" customHeight="1">
      <c r="A26" s="196" t="s">
        <v>53</v>
      </c>
      <c r="B26" s="92" t="s">
        <v>28</v>
      </c>
      <c r="C26" s="211">
        <v>20000</v>
      </c>
      <c r="D26" s="211">
        <v>340000</v>
      </c>
      <c r="E26" s="167" t="s">
        <v>715</v>
      </c>
      <c r="F26" s="217">
        <f t="shared" si="0"/>
        <v>1700000</v>
      </c>
      <c r="G26" s="218">
        <v>66900</v>
      </c>
      <c r="H26" s="219">
        <v>66900</v>
      </c>
      <c r="I26" s="219">
        <v>78400</v>
      </c>
      <c r="J26" s="219">
        <v>88400</v>
      </c>
      <c r="K26" s="223">
        <v>88400</v>
      </c>
      <c r="L26" s="218">
        <v>203100</v>
      </c>
      <c r="M26" s="219">
        <v>160400</v>
      </c>
      <c r="N26" s="512">
        <v>0.35</v>
      </c>
      <c r="O26" s="219"/>
      <c r="P26" s="223"/>
    </row>
    <row r="27" spans="1:16" ht="15" customHeight="1">
      <c r="A27" s="196" t="s">
        <v>54</v>
      </c>
      <c r="B27" s="92" t="s">
        <v>31</v>
      </c>
      <c r="C27" s="211">
        <v>2500</v>
      </c>
      <c r="D27" s="431" t="s">
        <v>712</v>
      </c>
      <c r="E27" s="214" t="s">
        <v>716</v>
      </c>
      <c r="F27" s="217" t="str">
        <f t="shared" si="0"/>
        <v/>
      </c>
      <c r="G27" s="218">
        <v>44400</v>
      </c>
      <c r="H27" s="219">
        <v>44400</v>
      </c>
      <c r="I27" s="219">
        <v>51900</v>
      </c>
      <c r="J27" s="219">
        <v>58500</v>
      </c>
      <c r="K27" s="223">
        <v>58500</v>
      </c>
      <c r="L27" s="218">
        <v>168400</v>
      </c>
      <c r="M27" s="219">
        <v>132900</v>
      </c>
      <c r="N27" s="512">
        <v>0.4</v>
      </c>
      <c r="O27" s="219"/>
      <c r="P27" s="223"/>
    </row>
    <row r="28" spans="1:16" ht="15" customHeight="1">
      <c r="A28" s="196" t="s">
        <v>55</v>
      </c>
      <c r="B28" s="92" t="s">
        <v>31</v>
      </c>
      <c r="C28" s="211">
        <v>5000</v>
      </c>
      <c r="D28" s="431" t="s">
        <v>712</v>
      </c>
      <c r="E28" s="167" t="s">
        <v>715</v>
      </c>
      <c r="F28" s="217" t="str">
        <f t="shared" si="0"/>
        <v/>
      </c>
      <c r="G28" s="218">
        <v>78800</v>
      </c>
      <c r="H28" s="219">
        <v>78800</v>
      </c>
      <c r="I28" s="219">
        <v>92100</v>
      </c>
      <c r="J28" s="219">
        <v>103900</v>
      </c>
      <c r="K28" s="223">
        <v>103900</v>
      </c>
      <c r="L28" s="218">
        <v>221100</v>
      </c>
      <c r="M28" s="219">
        <v>174500</v>
      </c>
      <c r="N28" s="512">
        <v>0.33</v>
      </c>
      <c r="O28" s="219"/>
      <c r="P28" s="223"/>
    </row>
    <row r="29" spans="1:16" ht="15" customHeight="1">
      <c r="A29" s="196" t="s">
        <v>56</v>
      </c>
      <c r="B29" s="92" t="s">
        <v>31</v>
      </c>
      <c r="C29" s="211">
        <v>2500</v>
      </c>
      <c r="D29" s="431" t="s">
        <v>712</v>
      </c>
      <c r="E29" s="167" t="s">
        <v>715</v>
      </c>
      <c r="F29" s="217" t="str">
        <f t="shared" si="0"/>
        <v/>
      </c>
      <c r="G29" s="218">
        <v>79300</v>
      </c>
      <c r="H29" s="219">
        <v>79300</v>
      </c>
      <c r="I29" s="219">
        <v>93200</v>
      </c>
      <c r="J29" s="219">
        <v>105000</v>
      </c>
      <c r="K29" s="223">
        <v>105000</v>
      </c>
      <c r="L29" s="218">
        <v>223000</v>
      </c>
      <c r="M29" s="219">
        <v>176000</v>
      </c>
      <c r="N29" s="512">
        <v>0.33</v>
      </c>
      <c r="O29" s="219"/>
      <c r="P29" s="223"/>
    </row>
    <row r="30" spans="1:16" ht="15" customHeight="1">
      <c r="A30" s="196" t="s">
        <v>57</v>
      </c>
      <c r="B30" s="92" t="s">
        <v>31</v>
      </c>
      <c r="C30" s="211">
        <v>2500</v>
      </c>
      <c r="D30" s="431" t="s">
        <v>712</v>
      </c>
      <c r="E30" s="214" t="s">
        <v>716</v>
      </c>
      <c r="F30" s="217" t="str">
        <f t="shared" si="0"/>
        <v/>
      </c>
      <c r="G30" s="218">
        <v>43600</v>
      </c>
      <c r="H30" s="219">
        <v>43600</v>
      </c>
      <c r="I30" s="219">
        <v>51000</v>
      </c>
      <c r="J30" s="219">
        <v>57600</v>
      </c>
      <c r="K30" s="223">
        <v>57600</v>
      </c>
      <c r="L30" s="218">
        <v>165300</v>
      </c>
      <c r="M30" s="219">
        <v>130600</v>
      </c>
      <c r="N30" s="512">
        <v>0.4</v>
      </c>
      <c r="O30" s="219"/>
      <c r="P30" s="223"/>
    </row>
    <row r="31" spans="1:16" ht="15" customHeight="1">
      <c r="A31" s="196" t="s">
        <v>58</v>
      </c>
      <c r="B31" s="92" t="s">
        <v>31</v>
      </c>
      <c r="C31" s="211">
        <v>2500</v>
      </c>
      <c r="D31" s="431" t="s">
        <v>712</v>
      </c>
      <c r="E31" s="167" t="s">
        <v>715</v>
      </c>
      <c r="F31" s="217" t="str">
        <f t="shared" si="0"/>
        <v/>
      </c>
      <c r="G31" s="218">
        <v>44200</v>
      </c>
      <c r="H31" s="219">
        <v>44200</v>
      </c>
      <c r="I31" s="219">
        <v>51700</v>
      </c>
      <c r="J31" s="219">
        <v>58300</v>
      </c>
      <c r="K31" s="223">
        <v>58300</v>
      </c>
      <c r="L31" s="218">
        <v>167600</v>
      </c>
      <c r="M31" s="219">
        <v>132500</v>
      </c>
      <c r="N31" s="512">
        <v>0.4</v>
      </c>
      <c r="O31" s="219"/>
      <c r="P31" s="223"/>
    </row>
    <row r="32" spans="1:16" ht="15" customHeight="1">
      <c r="A32" s="196" t="s">
        <v>59</v>
      </c>
      <c r="B32" s="92" t="s">
        <v>31</v>
      </c>
      <c r="C32" s="211">
        <v>2500</v>
      </c>
      <c r="D32" s="431" t="s">
        <v>712</v>
      </c>
      <c r="E32" s="213" t="s">
        <v>716</v>
      </c>
      <c r="F32" s="217" t="str">
        <f t="shared" si="0"/>
        <v/>
      </c>
      <c r="G32" s="218">
        <v>43600</v>
      </c>
      <c r="H32" s="219">
        <v>43600</v>
      </c>
      <c r="I32" s="219">
        <v>51000</v>
      </c>
      <c r="J32" s="219">
        <v>57600</v>
      </c>
      <c r="K32" s="223">
        <v>57600</v>
      </c>
      <c r="L32" s="218">
        <v>165300</v>
      </c>
      <c r="M32" s="219">
        <v>130600</v>
      </c>
      <c r="N32" s="512">
        <v>0.4</v>
      </c>
      <c r="O32" s="219"/>
      <c r="P32" s="223"/>
    </row>
    <row r="33" spans="1:16" ht="15" customHeight="1">
      <c r="A33" s="196" t="s">
        <v>60</v>
      </c>
      <c r="B33" s="92" t="s">
        <v>31</v>
      </c>
      <c r="C33" s="211">
        <v>5000</v>
      </c>
      <c r="D33" s="431" t="s">
        <v>712</v>
      </c>
      <c r="E33" s="213" t="s">
        <v>716</v>
      </c>
      <c r="F33" s="217" t="str">
        <f t="shared" si="0"/>
        <v/>
      </c>
      <c r="G33" s="218">
        <v>43600</v>
      </c>
      <c r="H33" s="219">
        <v>43600</v>
      </c>
      <c r="I33" s="219">
        <v>51000</v>
      </c>
      <c r="J33" s="219">
        <v>57600</v>
      </c>
      <c r="K33" s="223">
        <v>57600</v>
      </c>
      <c r="L33" s="218">
        <v>165300</v>
      </c>
      <c r="M33" s="219">
        <v>130600</v>
      </c>
      <c r="N33" s="512">
        <v>0.4</v>
      </c>
      <c r="O33" s="219"/>
      <c r="P33" s="223"/>
    </row>
    <row r="34" spans="1:16" ht="15" customHeight="1">
      <c r="A34" s="196" t="s">
        <v>61</v>
      </c>
      <c r="B34" s="92" t="s">
        <v>31</v>
      </c>
      <c r="C34" s="211">
        <v>5000</v>
      </c>
      <c r="D34" s="431" t="s">
        <v>712</v>
      </c>
      <c r="E34" s="214" t="s">
        <v>716</v>
      </c>
      <c r="F34" s="217" t="str">
        <f t="shared" si="0"/>
        <v/>
      </c>
      <c r="G34" s="218">
        <v>43600</v>
      </c>
      <c r="H34" s="219">
        <v>43600</v>
      </c>
      <c r="I34" s="219">
        <v>51000</v>
      </c>
      <c r="J34" s="219">
        <v>57600</v>
      </c>
      <c r="K34" s="223">
        <v>57600</v>
      </c>
      <c r="L34" s="218">
        <v>165300</v>
      </c>
      <c r="M34" s="219">
        <v>130600</v>
      </c>
      <c r="N34" s="512">
        <v>0.4</v>
      </c>
      <c r="O34" s="219"/>
      <c r="P34" s="223"/>
    </row>
    <row r="35" spans="1:16" ht="15" customHeight="1">
      <c r="A35" s="196" t="s">
        <v>62</v>
      </c>
      <c r="B35" s="92" t="s">
        <v>28</v>
      </c>
      <c r="C35" s="211">
        <v>20000</v>
      </c>
      <c r="D35" s="211">
        <v>340000</v>
      </c>
      <c r="E35" s="167" t="s">
        <v>715</v>
      </c>
      <c r="F35" s="217">
        <f t="shared" si="0"/>
        <v>1700000</v>
      </c>
      <c r="G35" s="218">
        <v>79500</v>
      </c>
      <c r="H35" s="219">
        <v>79500</v>
      </c>
      <c r="I35" s="219">
        <v>93200</v>
      </c>
      <c r="J35" s="219">
        <v>105200</v>
      </c>
      <c r="K35" s="223">
        <v>105200</v>
      </c>
      <c r="L35" s="218">
        <v>223800</v>
      </c>
      <c r="M35" s="219">
        <v>176400</v>
      </c>
      <c r="N35" s="512">
        <v>0.33</v>
      </c>
      <c r="O35" s="219"/>
      <c r="P35" s="223"/>
    </row>
    <row r="36" spans="1:16" ht="15" customHeight="1">
      <c r="A36" s="196" t="s">
        <v>63</v>
      </c>
      <c r="B36" s="92" t="s">
        <v>28</v>
      </c>
      <c r="C36" s="211">
        <v>20000</v>
      </c>
      <c r="D36" s="211">
        <v>340000</v>
      </c>
      <c r="E36" s="167" t="s">
        <v>715</v>
      </c>
      <c r="F36" s="217">
        <f t="shared" si="0"/>
        <v>1700000</v>
      </c>
      <c r="G36" s="218">
        <v>44400</v>
      </c>
      <c r="H36" s="219">
        <v>44400</v>
      </c>
      <c r="I36" s="219">
        <v>52100</v>
      </c>
      <c r="J36" s="219">
        <v>58700</v>
      </c>
      <c r="K36" s="223">
        <v>58700</v>
      </c>
      <c r="L36" s="218">
        <v>168800</v>
      </c>
      <c r="M36" s="219">
        <v>133300</v>
      </c>
      <c r="N36" s="512">
        <v>0.4</v>
      </c>
      <c r="O36" s="219"/>
      <c r="P36" s="223"/>
    </row>
    <row r="37" spans="1:16" ht="15" customHeight="1">
      <c r="A37" s="212" t="s">
        <v>64</v>
      </c>
      <c r="B37" s="92" t="s">
        <v>38</v>
      </c>
      <c r="C37" s="211">
        <v>75000</v>
      </c>
      <c r="D37" s="211">
        <v>610000</v>
      </c>
      <c r="E37" s="167" t="s">
        <v>715</v>
      </c>
      <c r="F37" s="217">
        <f t="shared" si="0"/>
        <v>2375000</v>
      </c>
      <c r="G37" s="218">
        <v>79500</v>
      </c>
      <c r="H37" s="219">
        <v>79500</v>
      </c>
      <c r="I37" s="219">
        <v>93200</v>
      </c>
      <c r="J37" s="219">
        <v>105200</v>
      </c>
      <c r="K37" s="223">
        <v>105200</v>
      </c>
      <c r="L37" s="218">
        <v>223800</v>
      </c>
      <c r="M37" s="219">
        <v>176400</v>
      </c>
      <c r="N37" s="512">
        <v>0.33</v>
      </c>
      <c r="O37" s="219"/>
      <c r="P37" s="223"/>
    </row>
    <row r="38" spans="1:16" ht="15" customHeight="1">
      <c r="A38" s="196" t="s">
        <v>65</v>
      </c>
      <c r="B38" s="92" t="s">
        <v>31</v>
      </c>
      <c r="C38" s="211">
        <v>2500</v>
      </c>
      <c r="D38" s="431" t="s">
        <v>712</v>
      </c>
      <c r="E38" s="213" t="s">
        <v>716</v>
      </c>
      <c r="F38" s="217" t="str">
        <f t="shared" si="0"/>
        <v/>
      </c>
      <c r="G38" s="218">
        <v>43600</v>
      </c>
      <c r="H38" s="219">
        <v>43600</v>
      </c>
      <c r="I38" s="219">
        <v>51000</v>
      </c>
      <c r="J38" s="219">
        <v>57600</v>
      </c>
      <c r="K38" s="223">
        <v>57600</v>
      </c>
      <c r="L38" s="218">
        <v>165300</v>
      </c>
      <c r="M38" s="219">
        <v>130600</v>
      </c>
      <c r="N38" s="512">
        <v>0.4</v>
      </c>
      <c r="O38" s="219"/>
      <c r="P38" s="223"/>
    </row>
    <row r="39" spans="1:16" ht="15" customHeight="1">
      <c r="A39" s="212" t="s">
        <v>66</v>
      </c>
      <c r="B39" s="92" t="s">
        <v>28</v>
      </c>
      <c r="C39" s="211">
        <v>20000</v>
      </c>
      <c r="D39" s="211">
        <v>340000</v>
      </c>
      <c r="E39" s="167" t="s">
        <v>715</v>
      </c>
      <c r="F39" s="217">
        <f t="shared" si="0"/>
        <v>1700000</v>
      </c>
      <c r="G39" s="218">
        <v>77400</v>
      </c>
      <c r="H39" s="219">
        <v>77400</v>
      </c>
      <c r="I39" s="219">
        <v>90800</v>
      </c>
      <c r="J39" s="219">
        <v>102300</v>
      </c>
      <c r="K39" s="223">
        <v>102300</v>
      </c>
      <c r="L39" s="218">
        <v>217600</v>
      </c>
      <c r="M39" s="219">
        <v>171800</v>
      </c>
      <c r="N39" s="512">
        <v>0.33</v>
      </c>
      <c r="O39" s="219"/>
      <c r="P39" s="223"/>
    </row>
    <row r="40" spans="1:16" ht="15" customHeight="1">
      <c r="A40" s="196" t="s">
        <v>67</v>
      </c>
      <c r="B40" s="92" t="s">
        <v>31</v>
      </c>
      <c r="C40" s="211">
        <v>5000</v>
      </c>
      <c r="D40" s="431" t="s">
        <v>712</v>
      </c>
      <c r="E40" s="213" t="s">
        <v>716</v>
      </c>
      <c r="F40" s="217" t="str">
        <f t="shared" si="0"/>
        <v/>
      </c>
      <c r="G40" s="218">
        <v>43600</v>
      </c>
      <c r="H40" s="219">
        <v>43600</v>
      </c>
      <c r="I40" s="219">
        <v>51000</v>
      </c>
      <c r="J40" s="219">
        <v>57600</v>
      </c>
      <c r="K40" s="223">
        <v>57600</v>
      </c>
      <c r="L40" s="218">
        <v>165300</v>
      </c>
      <c r="M40" s="219">
        <v>130600</v>
      </c>
      <c r="N40" s="512">
        <v>0.4</v>
      </c>
      <c r="O40" s="219"/>
      <c r="P40" s="223"/>
    </row>
    <row r="41" spans="1:16" ht="15" customHeight="1">
      <c r="A41" s="196" t="s">
        <v>68</v>
      </c>
      <c r="B41" s="92" t="s">
        <v>31</v>
      </c>
      <c r="C41" s="211">
        <v>2500</v>
      </c>
      <c r="D41" s="431" t="s">
        <v>712</v>
      </c>
      <c r="E41" s="167" t="s">
        <v>715</v>
      </c>
      <c r="F41" s="217" t="str">
        <f t="shared" si="0"/>
        <v/>
      </c>
      <c r="G41" s="218">
        <v>78800</v>
      </c>
      <c r="H41" s="219">
        <v>78800</v>
      </c>
      <c r="I41" s="219">
        <v>92100</v>
      </c>
      <c r="J41" s="219">
        <v>103900</v>
      </c>
      <c r="K41" s="223">
        <v>103900</v>
      </c>
      <c r="L41" s="218">
        <v>221100</v>
      </c>
      <c r="M41" s="219">
        <v>174500</v>
      </c>
      <c r="N41" s="512">
        <v>0.33</v>
      </c>
      <c r="O41" s="219"/>
      <c r="P41" s="223"/>
    </row>
    <row r="42" spans="1:16" ht="15" customHeight="1">
      <c r="A42" s="196" t="s">
        <v>69</v>
      </c>
      <c r="B42" s="92" t="s">
        <v>31</v>
      </c>
      <c r="C42" s="211">
        <v>2500</v>
      </c>
      <c r="D42" s="431" t="s">
        <v>712</v>
      </c>
      <c r="E42" s="213" t="s">
        <v>716</v>
      </c>
      <c r="F42" s="217" t="str">
        <f t="shared" si="0"/>
        <v/>
      </c>
      <c r="G42" s="218">
        <v>45700</v>
      </c>
      <c r="H42" s="219">
        <v>45700</v>
      </c>
      <c r="I42" s="219">
        <v>53600</v>
      </c>
      <c r="J42" s="219">
        <v>60500</v>
      </c>
      <c r="K42" s="223">
        <v>60500</v>
      </c>
      <c r="L42" s="218">
        <v>173700</v>
      </c>
      <c r="M42" s="219">
        <v>137100</v>
      </c>
      <c r="N42" s="512">
        <v>0.4</v>
      </c>
      <c r="O42" s="219"/>
      <c r="P42" s="223"/>
    </row>
    <row r="43" spans="1:16" ht="15" customHeight="1">
      <c r="A43" s="196" t="s">
        <v>70</v>
      </c>
      <c r="B43" s="92" t="s">
        <v>28</v>
      </c>
      <c r="C43" s="211">
        <v>37500</v>
      </c>
      <c r="D43" s="211">
        <v>460000</v>
      </c>
      <c r="E43" s="167" t="s">
        <v>715</v>
      </c>
      <c r="F43" s="217">
        <f t="shared" si="0"/>
        <v>1700000</v>
      </c>
      <c r="G43" s="218">
        <v>80300</v>
      </c>
      <c r="H43" s="219">
        <v>80300</v>
      </c>
      <c r="I43" s="219">
        <v>94100</v>
      </c>
      <c r="J43" s="219">
        <v>106100</v>
      </c>
      <c r="K43" s="223">
        <v>106100</v>
      </c>
      <c r="L43" s="218">
        <v>225700</v>
      </c>
      <c r="M43" s="219">
        <v>178300</v>
      </c>
      <c r="N43" s="512">
        <v>0.33</v>
      </c>
      <c r="O43" s="219"/>
      <c r="P43" s="223"/>
    </row>
    <row r="44" spans="1:16" ht="15" customHeight="1">
      <c r="A44" s="196" t="s">
        <v>71</v>
      </c>
      <c r="B44" s="92" t="s">
        <v>28</v>
      </c>
      <c r="C44" s="211">
        <v>50000</v>
      </c>
      <c r="D44" s="211">
        <v>460000</v>
      </c>
      <c r="E44" s="167" t="s">
        <v>715</v>
      </c>
      <c r="F44" s="217">
        <f t="shared" si="0"/>
        <v>1700000</v>
      </c>
      <c r="G44" s="218">
        <v>78000</v>
      </c>
      <c r="H44" s="219">
        <v>78000</v>
      </c>
      <c r="I44" s="219">
        <v>91300</v>
      </c>
      <c r="J44" s="219">
        <v>102800</v>
      </c>
      <c r="K44" s="223">
        <v>102800</v>
      </c>
      <c r="L44" s="218">
        <v>219200</v>
      </c>
      <c r="M44" s="219">
        <v>173000</v>
      </c>
      <c r="N44" s="512">
        <v>0.33</v>
      </c>
      <c r="O44" s="219"/>
      <c r="P44" s="223"/>
    </row>
    <row r="45" spans="1:16" ht="15" customHeight="1">
      <c r="A45" s="196" t="s">
        <v>72</v>
      </c>
      <c r="B45" s="92" t="s">
        <v>28</v>
      </c>
      <c r="C45" s="211">
        <v>37500</v>
      </c>
      <c r="D45" s="211">
        <v>460000</v>
      </c>
      <c r="E45" s="167" t="s">
        <v>715</v>
      </c>
      <c r="F45" s="217">
        <f t="shared" si="0"/>
        <v>1700000</v>
      </c>
      <c r="G45" s="218">
        <v>78800</v>
      </c>
      <c r="H45" s="219">
        <v>78800</v>
      </c>
      <c r="I45" s="219">
        <v>92100</v>
      </c>
      <c r="J45" s="219">
        <v>103900</v>
      </c>
      <c r="K45" s="223">
        <v>103900</v>
      </c>
      <c r="L45" s="218">
        <v>221100</v>
      </c>
      <c r="M45" s="219">
        <v>174500</v>
      </c>
      <c r="N45" s="512">
        <v>0.33</v>
      </c>
      <c r="O45" s="219"/>
      <c r="P45" s="223"/>
    </row>
    <row r="46" spans="1:16" ht="15" customHeight="1">
      <c r="A46" s="196" t="s">
        <v>73</v>
      </c>
      <c r="B46" s="92" t="s">
        <v>31</v>
      </c>
      <c r="C46" s="211">
        <v>5000</v>
      </c>
      <c r="D46" s="431" t="s">
        <v>712</v>
      </c>
      <c r="E46" s="214" t="s">
        <v>716</v>
      </c>
      <c r="F46" s="217" t="str">
        <f t="shared" si="0"/>
        <v/>
      </c>
      <c r="G46" s="218">
        <v>43600</v>
      </c>
      <c r="H46" s="219">
        <v>43600</v>
      </c>
      <c r="I46" s="219">
        <v>51000</v>
      </c>
      <c r="J46" s="219">
        <v>57600</v>
      </c>
      <c r="K46" s="223">
        <v>57600</v>
      </c>
      <c r="L46" s="218">
        <v>165300</v>
      </c>
      <c r="M46" s="219">
        <v>130600</v>
      </c>
      <c r="N46" s="512">
        <v>0.4</v>
      </c>
      <c r="O46" s="219"/>
      <c r="P46" s="223"/>
    </row>
    <row r="47" spans="1:16" ht="15" customHeight="1">
      <c r="A47" s="196" t="s">
        <v>74</v>
      </c>
      <c r="B47" s="92" t="s">
        <v>31</v>
      </c>
      <c r="C47" s="211">
        <v>2500</v>
      </c>
      <c r="D47" s="431" t="s">
        <v>712</v>
      </c>
      <c r="E47" s="213" t="s">
        <v>716</v>
      </c>
      <c r="F47" s="217" t="str">
        <f t="shared" si="0"/>
        <v/>
      </c>
      <c r="G47" s="218">
        <v>43600</v>
      </c>
      <c r="H47" s="219">
        <v>43600</v>
      </c>
      <c r="I47" s="219">
        <v>51000</v>
      </c>
      <c r="J47" s="219">
        <v>57600</v>
      </c>
      <c r="K47" s="223">
        <v>57600</v>
      </c>
      <c r="L47" s="218">
        <v>165300</v>
      </c>
      <c r="M47" s="219">
        <v>130600</v>
      </c>
      <c r="N47" s="512">
        <v>0.4</v>
      </c>
      <c r="O47" s="219"/>
      <c r="P47" s="223"/>
    </row>
    <row r="48" spans="1:16" ht="15" customHeight="1">
      <c r="A48" s="196" t="s">
        <v>75</v>
      </c>
      <c r="B48" s="92" t="s">
        <v>31</v>
      </c>
      <c r="C48" s="211">
        <v>2500</v>
      </c>
      <c r="D48" s="431" t="s">
        <v>712</v>
      </c>
      <c r="E48" s="213" t="s">
        <v>716</v>
      </c>
      <c r="F48" s="217" t="str">
        <f t="shared" si="0"/>
        <v/>
      </c>
      <c r="G48" s="218">
        <v>43600</v>
      </c>
      <c r="H48" s="219">
        <v>43600</v>
      </c>
      <c r="I48" s="219">
        <v>51000</v>
      </c>
      <c r="J48" s="219">
        <v>57600</v>
      </c>
      <c r="K48" s="223">
        <v>57600</v>
      </c>
      <c r="L48" s="218">
        <v>165300</v>
      </c>
      <c r="M48" s="219">
        <v>130600</v>
      </c>
      <c r="N48" s="512">
        <v>0.4</v>
      </c>
      <c r="O48" s="219"/>
      <c r="P48" s="223"/>
    </row>
    <row r="49" spans="1:16" ht="15" customHeight="1">
      <c r="A49" s="196" t="s">
        <v>76</v>
      </c>
      <c r="B49" s="92" t="s">
        <v>28</v>
      </c>
      <c r="C49" s="211">
        <v>37500</v>
      </c>
      <c r="D49" s="211">
        <v>460000</v>
      </c>
      <c r="E49" s="167" t="s">
        <v>715</v>
      </c>
      <c r="F49" s="217">
        <f t="shared" si="0"/>
        <v>1700000</v>
      </c>
      <c r="G49" s="218">
        <v>83700</v>
      </c>
      <c r="H49" s="219">
        <v>83700</v>
      </c>
      <c r="I49" s="219">
        <v>97800</v>
      </c>
      <c r="J49" s="219">
        <v>110600</v>
      </c>
      <c r="K49" s="223">
        <v>110600</v>
      </c>
      <c r="L49" s="218">
        <v>235200</v>
      </c>
      <c r="M49" s="219">
        <v>185600</v>
      </c>
      <c r="N49" s="512">
        <v>0.33</v>
      </c>
      <c r="O49" s="219"/>
      <c r="P49" s="223"/>
    </row>
    <row r="50" spans="1:16" ht="15" customHeight="1">
      <c r="A50" s="196" t="s">
        <v>77</v>
      </c>
      <c r="B50" s="92" t="s">
        <v>28</v>
      </c>
      <c r="C50" s="211">
        <v>37500</v>
      </c>
      <c r="D50" s="211">
        <v>460000</v>
      </c>
      <c r="E50" s="167" t="s">
        <v>715</v>
      </c>
      <c r="F50" s="217">
        <f t="shared" si="0"/>
        <v>1700000</v>
      </c>
      <c r="G50" s="218">
        <v>44500</v>
      </c>
      <c r="H50" s="219">
        <v>44500</v>
      </c>
      <c r="I50" s="219">
        <v>52300</v>
      </c>
      <c r="J50" s="219">
        <v>58900</v>
      </c>
      <c r="K50" s="223">
        <v>58900</v>
      </c>
      <c r="L50" s="218">
        <v>169500</v>
      </c>
      <c r="M50" s="219">
        <v>133600</v>
      </c>
      <c r="N50" s="512">
        <v>0.4</v>
      </c>
      <c r="O50" s="219"/>
      <c r="P50" s="223"/>
    </row>
    <row r="51" spans="1:16" ht="15" customHeight="1">
      <c r="A51" s="196" t="s">
        <v>78</v>
      </c>
      <c r="B51" s="92" t="s">
        <v>28</v>
      </c>
      <c r="C51" s="211">
        <v>20000</v>
      </c>
      <c r="D51" s="211">
        <v>340000</v>
      </c>
      <c r="E51" s="167" t="s">
        <v>715</v>
      </c>
      <c r="F51" s="217">
        <f t="shared" si="0"/>
        <v>1700000</v>
      </c>
      <c r="G51" s="218">
        <v>77400</v>
      </c>
      <c r="H51" s="219">
        <v>77400</v>
      </c>
      <c r="I51" s="219">
        <v>90800</v>
      </c>
      <c r="J51" s="219">
        <v>102400</v>
      </c>
      <c r="K51" s="223">
        <v>102400</v>
      </c>
      <c r="L51" s="218">
        <v>217600</v>
      </c>
      <c r="M51" s="219">
        <v>171800</v>
      </c>
      <c r="N51" s="512">
        <v>0.33</v>
      </c>
      <c r="O51" s="219"/>
      <c r="P51" s="223"/>
    </row>
    <row r="52" spans="1:16" ht="15" customHeight="1">
      <c r="A52" s="196" t="s">
        <v>79</v>
      </c>
      <c r="B52" s="92" t="s">
        <v>38</v>
      </c>
      <c r="C52" s="211">
        <v>250000</v>
      </c>
      <c r="D52" s="211"/>
      <c r="E52" s="167" t="s">
        <v>715</v>
      </c>
      <c r="F52" s="217">
        <f t="shared" si="0"/>
        <v>2375000</v>
      </c>
      <c r="G52" s="218">
        <v>111800</v>
      </c>
      <c r="H52" s="219">
        <v>111800</v>
      </c>
      <c r="I52" s="219">
        <v>131300</v>
      </c>
      <c r="J52" s="219">
        <v>148000</v>
      </c>
      <c r="K52" s="223">
        <v>148000</v>
      </c>
      <c r="L52" s="218">
        <v>265400</v>
      </c>
      <c r="M52" s="219">
        <v>209600</v>
      </c>
      <c r="N52" s="512">
        <v>0.28000000000000003</v>
      </c>
      <c r="O52" s="219"/>
      <c r="P52" s="223"/>
    </row>
    <row r="53" spans="1:16" ht="15" customHeight="1">
      <c r="A53" s="196" t="s">
        <v>81</v>
      </c>
      <c r="B53" s="92" t="s">
        <v>31</v>
      </c>
      <c r="C53" s="211">
        <v>10000</v>
      </c>
      <c r="D53" s="431" t="s">
        <v>712</v>
      </c>
      <c r="E53" s="214" t="s">
        <v>716</v>
      </c>
      <c r="F53" s="217" t="str">
        <f t="shared" si="0"/>
        <v/>
      </c>
      <c r="G53" s="218">
        <v>117600</v>
      </c>
      <c r="H53" s="219">
        <v>117600</v>
      </c>
      <c r="I53" s="219">
        <v>137800</v>
      </c>
      <c r="J53" s="219">
        <v>155500</v>
      </c>
      <c r="K53" s="223">
        <v>155500</v>
      </c>
      <c r="L53" s="218">
        <v>279100</v>
      </c>
      <c r="M53" s="219">
        <v>220300</v>
      </c>
      <c r="N53" s="512">
        <v>0.28000000000000003</v>
      </c>
      <c r="O53" s="219"/>
      <c r="P53" s="223"/>
    </row>
    <row r="54" spans="1:16" ht="15" customHeight="1">
      <c r="A54" s="196" t="s">
        <v>83</v>
      </c>
      <c r="B54" s="92" t="s">
        <v>31</v>
      </c>
      <c r="C54" s="211">
        <v>10000</v>
      </c>
      <c r="D54" s="431" t="s">
        <v>712</v>
      </c>
      <c r="E54" s="167" t="s">
        <v>715</v>
      </c>
      <c r="F54" s="217" t="str">
        <f t="shared" si="0"/>
        <v/>
      </c>
      <c r="G54" s="218">
        <v>81100</v>
      </c>
      <c r="H54" s="219">
        <v>81100</v>
      </c>
      <c r="I54" s="219">
        <v>94900</v>
      </c>
      <c r="J54" s="219">
        <v>107000</v>
      </c>
      <c r="K54" s="223">
        <v>107000</v>
      </c>
      <c r="L54" s="218">
        <v>227600</v>
      </c>
      <c r="M54" s="219">
        <v>179800</v>
      </c>
      <c r="N54" s="512">
        <v>0.33</v>
      </c>
      <c r="O54" s="219"/>
      <c r="P54" s="223"/>
    </row>
    <row r="55" spans="1:16" ht="15" customHeight="1">
      <c r="A55" s="196" t="s">
        <v>84</v>
      </c>
      <c r="B55" s="92" t="s">
        <v>28</v>
      </c>
      <c r="C55" s="211">
        <v>20000</v>
      </c>
      <c r="D55" s="211">
        <v>340000</v>
      </c>
      <c r="E55" s="167" t="s">
        <v>715</v>
      </c>
      <c r="F55" s="217">
        <f t="shared" si="0"/>
        <v>1700000</v>
      </c>
      <c r="G55" s="218">
        <v>94600</v>
      </c>
      <c r="H55" s="219">
        <v>94600</v>
      </c>
      <c r="I55" s="219">
        <v>110900</v>
      </c>
      <c r="J55" s="219">
        <v>125000</v>
      </c>
      <c r="K55" s="223">
        <v>125000</v>
      </c>
      <c r="L55" s="218">
        <v>239400</v>
      </c>
      <c r="M55" s="219">
        <v>189000</v>
      </c>
      <c r="N55" s="512">
        <v>0.3</v>
      </c>
      <c r="O55" s="219"/>
      <c r="P55" s="223"/>
    </row>
    <row r="56" spans="1:16" ht="15" customHeight="1">
      <c r="A56" s="196" t="s">
        <v>85</v>
      </c>
      <c r="B56" s="92" t="s">
        <v>31</v>
      </c>
      <c r="C56" s="211">
        <v>5000</v>
      </c>
      <c r="D56" s="431" t="s">
        <v>712</v>
      </c>
      <c r="E56" s="214" t="s">
        <v>716</v>
      </c>
      <c r="F56" s="217" t="str">
        <f t="shared" si="0"/>
        <v/>
      </c>
      <c r="G56" s="218">
        <v>43600</v>
      </c>
      <c r="H56" s="219">
        <v>43600</v>
      </c>
      <c r="I56" s="219">
        <v>51000</v>
      </c>
      <c r="J56" s="219">
        <v>57600</v>
      </c>
      <c r="K56" s="223">
        <v>57600</v>
      </c>
      <c r="L56" s="218">
        <v>165300</v>
      </c>
      <c r="M56" s="219">
        <v>130600</v>
      </c>
      <c r="N56" s="512">
        <v>0.4</v>
      </c>
      <c r="O56" s="219"/>
      <c r="P56" s="223"/>
    </row>
    <row r="57" spans="1:16" ht="15" customHeight="1">
      <c r="A57" s="196" t="s">
        <v>86</v>
      </c>
      <c r="B57" s="92" t="s">
        <v>38</v>
      </c>
      <c r="C57" s="211">
        <v>75000</v>
      </c>
      <c r="D57" s="211">
        <v>610000</v>
      </c>
      <c r="E57" s="167" t="s">
        <v>715</v>
      </c>
      <c r="F57" s="217">
        <f t="shared" si="0"/>
        <v>2375000</v>
      </c>
      <c r="G57" s="218">
        <v>80300</v>
      </c>
      <c r="H57" s="219">
        <v>80300</v>
      </c>
      <c r="I57" s="219">
        <v>94100</v>
      </c>
      <c r="J57" s="219">
        <v>106100</v>
      </c>
      <c r="K57" s="223">
        <v>106100</v>
      </c>
      <c r="L57" s="218">
        <v>225700</v>
      </c>
      <c r="M57" s="219">
        <v>178300</v>
      </c>
      <c r="N57" s="512">
        <v>0.33</v>
      </c>
      <c r="O57" s="219"/>
      <c r="P57" s="223"/>
    </row>
    <row r="58" spans="1:16" ht="15" customHeight="1">
      <c r="A58" s="196" t="s">
        <v>87</v>
      </c>
      <c r="B58" s="92" t="s">
        <v>28</v>
      </c>
      <c r="C58" s="211">
        <v>20000</v>
      </c>
      <c r="D58" s="211">
        <v>460000</v>
      </c>
      <c r="E58" s="167" t="s">
        <v>715</v>
      </c>
      <c r="F58" s="217">
        <f t="shared" si="0"/>
        <v>1700000</v>
      </c>
      <c r="G58" s="218">
        <v>80300</v>
      </c>
      <c r="H58" s="219">
        <v>80300</v>
      </c>
      <c r="I58" s="219">
        <v>94100</v>
      </c>
      <c r="J58" s="219">
        <v>106100</v>
      </c>
      <c r="K58" s="223">
        <v>106100</v>
      </c>
      <c r="L58" s="218">
        <v>225700</v>
      </c>
      <c r="M58" s="219">
        <v>178300</v>
      </c>
      <c r="N58" s="512">
        <v>0.33</v>
      </c>
      <c r="O58" s="219"/>
      <c r="P58" s="223"/>
    </row>
    <row r="59" spans="1:16" ht="15" customHeight="1">
      <c r="A59" s="196" t="s">
        <v>88</v>
      </c>
      <c r="B59" s="92" t="s">
        <v>38</v>
      </c>
      <c r="C59" s="211">
        <v>75000</v>
      </c>
      <c r="D59" s="211">
        <v>640000</v>
      </c>
      <c r="E59" s="167" t="s">
        <v>715</v>
      </c>
      <c r="F59" s="217">
        <f t="shared" si="0"/>
        <v>2375000</v>
      </c>
      <c r="G59" s="218">
        <v>99000</v>
      </c>
      <c r="H59" s="219">
        <v>99000</v>
      </c>
      <c r="I59" s="219">
        <v>116000</v>
      </c>
      <c r="J59" s="219">
        <v>130900</v>
      </c>
      <c r="K59" s="223">
        <v>130900</v>
      </c>
      <c r="L59" s="218">
        <v>250500</v>
      </c>
      <c r="M59" s="219">
        <v>197800</v>
      </c>
      <c r="N59" s="512">
        <v>0.3</v>
      </c>
      <c r="O59" s="219"/>
      <c r="P59" s="223"/>
    </row>
    <row r="60" spans="1:16" ht="15" customHeight="1">
      <c r="A60" s="196" t="s">
        <v>89</v>
      </c>
      <c r="B60" s="92" t="s">
        <v>28</v>
      </c>
      <c r="C60" s="211">
        <v>50000</v>
      </c>
      <c r="D60" s="211">
        <v>460000</v>
      </c>
      <c r="E60" s="167" t="s">
        <v>715</v>
      </c>
      <c r="F60" s="217">
        <f t="shared" si="0"/>
        <v>1700000</v>
      </c>
      <c r="G60" s="218">
        <v>79500</v>
      </c>
      <c r="H60" s="219">
        <v>79500</v>
      </c>
      <c r="I60" s="219">
        <v>93200</v>
      </c>
      <c r="J60" s="219">
        <v>105200</v>
      </c>
      <c r="K60" s="223">
        <v>105200</v>
      </c>
      <c r="L60" s="218">
        <v>223800</v>
      </c>
      <c r="M60" s="219">
        <v>176400</v>
      </c>
      <c r="N60" s="512">
        <v>0.33</v>
      </c>
      <c r="O60" s="219"/>
      <c r="P60" s="223"/>
    </row>
    <row r="61" spans="1:16" ht="15" customHeight="1">
      <c r="A61" s="196" t="s">
        <v>90</v>
      </c>
      <c r="B61" s="92" t="s">
        <v>38</v>
      </c>
      <c r="C61" s="211">
        <v>75000</v>
      </c>
      <c r="D61" s="211">
        <v>610000</v>
      </c>
      <c r="E61" s="167" t="s">
        <v>715</v>
      </c>
      <c r="F61" s="217">
        <f t="shared" si="0"/>
        <v>2375000</v>
      </c>
      <c r="G61" s="218">
        <v>79500</v>
      </c>
      <c r="H61" s="219">
        <v>79500</v>
      </c>
      <c r="I61" s="219">
        <v>93200</v>
      </c>
      <c r="J61" s="219">
        <v>105200</v>
      </c>
      <c r="K61" s="223">
        <v>105200</v>
      </c>
      <c r="L61" s="218">
        <v>223800</v>
      </c>
      <c r="M61" s="219">
        <v>176400</v>
      </c>
      <c r="N61" s="512">
        <v>0.33</v>
      </c>
      <c r="O61" s="219"/>
      <c r="P61" s="223"/>
    </row>
    <row r="62" spans="1:16" ht="15" customHeight="1">
      <c r="A62" s="196" t="s">
        <v>92</v>
      </c>
      <c r="B62" s="92" t="s">
        <v>28</v>
      </c>
      <c r="C62" s="211">
        <v>50000</v>
      </c>
      <c r="D62" s="211">
        <v>460000</v>
      </c>
      <c r="E62" s="167" t="s">
        <v>715</v>
      </c>
      <c r="F62" s="217">
        <f t="shared" si="0"/>
        <v>1700000</v>
      </c>
      <c r="G62" s="218">
        <v>48400</v>
      </c>
      <c r="H62" s="219">
        <v>48400</v>
      </c>
      <c r="I62" s="219">
        <v>56800</v>
      </c>
      <c r="J62" s="219">
        <v>64000</v>
      </c>
      <c r="K62" s="223">
        <v>64000</v>
      </c>
      <c r="L62" s="218">
        <v>183700</v>
      </c>
      <c r="M62" s="219">
        <v>145100</v>
      </c>
      <c r="N62" s="512">
        <v>0.4</v>
      </c>
      <c r="O62" s="219"/>
      <c r="P62" s="223"/>
    </row>
    <row r="63" spans="1:16" ht="15" customHeight="1">
      <c r="A63" s="196" t="s">
        <v>93</v>
      </c>
      <c r="B63" s="92" t="s">
        <v>31</v>
      </c>
      <c r="C63" s="211">
        <v>10000</v>
      </c>
      <c r="D63" s="431" t="s">
        <v>712</v>
      </c>
      <c r="E63" s="214" t="s">
        <v>716</v>
      </c>
      <c r="F63" s="217" t="str">
        <f t="shared" si="0"/>
        <v/>
      </c>
      <c r="G63" s="218">
        <v>43600</v>
      </c>
      <c r="H63" s="219">
        <v>43600</v>
      </c>
      <c r="I63" s="219">
        <v>51000</v>
      </c>
      <c r="J63" s="219">
        <v>57600</v>
      </c>
      <c r="K63" s="223">
        <v>57600</v>
      </c>
      <c r="L63" s="218">
        <v>165300</v>
      </c>
      <c r="M63" s="219">
        <v>130600</v>
      </c>
      <c r="N63" s="512">
        <v>0.4</v>
      </c>
      <c r="O63" s="219"/>
      <c r="P63" s="223"/>
    </row>
    <row r="64" spans="1:16" ht="15" customHeight="1">
      <c r="A64" s="196" t="s">
        <v>96</v>
      </c>
      <c r="B64" s="92" t="s">
        <v>28</v>
      </c>
      <c r="C64" s="211">
        <v>20000</v>
      </c>
      <c r="D64" s="211">
        <v>340000</v>
      </c>
      <c r="E64" s="167" t="s">
        <v>715</v>
      </c>
      <c r="F64" s="217">
        <f t="shared" si="0"/>
        <v>1700000</v>
      </c>
      <c r="G64" s="218">
        <v>81100</v>
      </c>
      <c r="H64" s="219">
        <v>81100</v>
      </c>
      <c r="I64" s="219">
        <v>94900</v>
      </c>
      <c r="J64" s="219">
        <v>107000</v>
      </c>
      <c r="K64" s="223">
        <v>107000</v>
      </c>
      <c r="L64" s="218">
        <v>227600</v>
      </c>
      <c r="M64" s="219">
        <v>179800</v>
      </c>
      <c r="N64" s="512">
        <v>0.33</v>
      </c>
      <c r="O64" s="219"/>
      <c r="P64" s="223"/>
    </row>
    <row r="65" spans="1:16" ht="15" customHeight="1">
      <c r="A65" s="196" t="s">
        <v>97</v>
      </c>
      <c r="B65" s="92" t="s">
        <v>28</v>
      </c>
      <c r="C65" s="211">
        <v>50000</v>
      </c>
      <c r="D65" s="211">
        <v>460000</v>
      </c>
      <c r="E65" s="167" t="s">
        <v>715</v>
      </c>
      <c r="F65" s="217">
        <f t="shared" si="0"/>
        <v>1700000</v>
      </c>
      <c r="G65" s="218">
        <v>77400</v>
      </c>
      <c r="H65" s="219">
        <v>77400</v>
      </c>
      <c r="I65" s="219">
        <v>90800</v>
      </c>
      <c r="J65" s="219">
        <v>102400</v>
      </c>
      <c r="K65" s="223">
        <v>102400</v>
      </c>
      <c r="L65" s="218">
        <v>217600</v>
      </c>
      <c r="M65" s="219">
        <v>171800</v>
      </c>
      <c r="N65" s="512">
        <v>0.33</v>
      </c>
      <c r="O65" s="219"/>
      <c r="P65" s="223"/>
    </row>
    <row r="66" spans="1:16" ht="15" customHeight="1">
      <c r="A66" s="196" t="s">
        <v>98</v>
      </c>
      <c r="B66" s="92" t="s">
        <v>28</v>
      </c>
      <c r="C66" s="211">
        <v>50000</v>
      </c>
      <c r="D66" s="211">
        <v>460000</v>
      </c>
      <c r="E66" s="167" t="s">
        <v>715</v>
      </c>
      <c r="F66" s="217">
        <f t="shared" si="0"/>
        <v>1700000</v>
      </c>
      <c r="G66" s="218">
        <v>69400</v>
      </c>
      <c r="H66" s="219">
        <v>69400</v>
      </c>
      <c r="I66" s="219">
        <v>81200</v>
      </c>
      <c r="J66" s="219">
        <v>91700</v>
      </c>
      <c r="K66" s="223">
        <v>91700</v>
      </c>
      <c r="L66" s="218">
        <v>210400</v>
      </c>
      <c r="M66" s="219">
        <v>166100</v>
      </c>
      <c r="N66" s="512">
        <v>0.35</v>
      </c>
      <c r="O66" s="219"/>
      <c r="P66" s="223"/>
    </row>
    <row r="67" spans="1:16" ht="15" customHeight="1">
      <c r="A67" s="196" t="s">
        <v>94</v>
      </c>
      <c r="B67" s="92" t="s">
        <v>28</v>
      </c>
      <c r="C67" s="211">
        <v>20000</v>
      </c>
      <c r="D67" s="211">
        <v>460000</v>
      </c>
      <c r="E67" s="167" t="s">
        <v>715</v>
      </c>
      <c r="F67" s="217">
        <f t="shared" si="0"/>
        <v>1700000</v>
      </c>
      <c r="G67" s="218">
        <v>83700</v>
      </c>
      <c r="H67" s="219">
        <v>83700</v>
      </c>
      <c r="I67" s="219">
        <v>97800</v>
      </c>
      <c r="J67" s="219">
        <v>110600</v>
      </c>
      <c r="K67" s="223">
        <v>110600</v>
      </c>
      <c r="L67" s="218">
        <v>235200</v>
      </c>
      <c r="M67" s="219">
        <v>185600</v>
      </c>
      <c r="N67" s="512">
        <v>0.33</v>
      </c>
      <c r="O67" s="219"/>
      <c r="P67" s="223"/>
    </row>
    <row r="68" spans="1:16" ht="15" customHeight="1">
      <c r="A68" s="196" t="s">
        <v>95</v>
      </c>
      <c r="B68" s="92" t="s">
        <v>28</v>
      </c>
      <c r="C68" s="211">
        <v>20000</v>
      </c>
      <c r="D68" s="211">
        <v>460000</v>
      </c>
      <c r="E68" s="167" t="s">
        <v>715</v>
      </c>
      <c r="F68" s="217">
        <f t="shared" si="0"/>
        <v>1700000</v>
      </c>
      <c r="G68" s="218">
        <v>80300</v>
      </c>
      <c r="H68" s="219">
        <v>80300</v>
      </c>
      <c r="I68" s="219">
        <v>94100</v>
      </c>
      <c r="J68" s="219">
        <v>106100</v>
      </c>
      <c r="K68" s="223">
        <v>106100</v>
      </c>
      <c r="L68" s="218">
        <v>225700</v>
      </c>
      <c r="M68" s="219">
        <v>178300</v>
      </c>
      <c r="N68" s="512">
        <v>0.33</v>
      </c>
      <c r="O68" s="219"/>
      <c r="P68" s="223"/>
    </row>
    <row r="69" spans="1:16" ht="15" customHeight="1">
      <c r="A69" s="196" t="s">
        <v>99</v>
      </c>
      <c r="B69" s="92" t="s">
        <v>28</v>
      </c>
      <c r="C69" s="211">
        <v>10000</v>
      </c>
      <c r="D69" s="211">
        <v>340000</v>
      </c>
      <c r="E69" s="167" t="s">
        <v>715</v>
      </c>
      <c r="F69" s="217">
        <f t="shared" si="0"/>
        <v>1700000</v>
      </c>
      <c r="G69" s="218">
        <v>67700</v>
      </c>
      <c r="H69" s="219">
        <v>67700</v>
      </c>
      <c r="I69" s="219">
        <v>79200</v>
      </c>
      <c r="J69" s="219">
        <v>89300</v>
      </c>
      <c r="K69" s="223">
        <v>89300</v>
      </c>
      <c r="L69" s="218">
        <v>205000</v>
      </c>
      <c r="M69" s="219">
        <v>161900</v>
      </c>
      <c r="N69" s="512">
        <v>0.35</v>
      </c>
      <c r="O69" s="219"/>
      <c r="P69" s="223"/>
    </row>
    <row r="70" spans="1:16" ht="15" customHeight="1">
      <c r="A70" s="196" t="s">
        <v>100</v>
      </c>
      <c r="B70" s="92" t="s">
        <v>31</v>
      </c>
      <c r="C70" s="211">
        <v>5000</v>
      </c>
      <c r="D70" s="431" t="s">
        <v>712</v>
      </c>
      <c r="E70" s="213" t="s">
        <v>716</v>
      </c>
      <c r="F70" s="217" t="str">
        <f t="shared" si="0"/>
        <v/>
      </c>
      <c r="G70" s="218">
        <v>43600</v>
      </c>
      <c r="H70" s="219">
        <v>43600</v>
      </c>
      <c r="I70" s="219">
        <v>51000</v>
      </c>
      <c r="J70" s="219">
        <v>57600</v>
      </c>
      <c r="K70" s="223">
        <v>57600</v>
      </c>
      <c r="L70" s="218">
        <v>165300</v>
      </c>
      <c r="M70" s="219">
        <v>130600</v>
      </c>
      <c r="N70" s="512">
        <v>0.4</v>
      </c>
      <c r="O70" s="219"/>
      <c r="P70" s="223"/>
    </row>
    <row r="71" spans="1:16" ht="15" customHeight="1">
      <c r="A71" s="196" t="s">
        <v>101</v>
      </c>
      <c r="B71" s="92" t="s">
        <v>31</v>
      </c>
      <c r="C71" s="211">
        <v>2500</v>
      </c>
      <c r="D71" s="431" t="s">
        <v>712</v>
      </c>
      <c r="E71" s="213" t="s">
        <v>716</v>
      </c>
      <c r="F71" s="217" t="str">
        <f t="shared" si="0"/>
        <v/>
      </c>
      <c r="G71" s="218">
        <v>43600</v>
      </c>
      <c r="H71" s="219">
        <v>43600</v>
      </c>
      <c r="I71" s="219">
        <v>51000</v>
      </c>
      <c r="J71" s="219">
        <v>57600</v>
      </c>
      <c r="K71" s="223">
        <v>57600</v>
      </c>
      <c r="L71" s="218">
        <v>165300</v>
      </c>
      <c r="M71" s="219">
        <v>130600</v>
      </c>
      <c r="N71" s="512">
        <v>0.4</v>
      </c>
      <c r="O71" s="219"/>
      <c r="P71" s="223"/>
    </row>
    <row r="72" spans="1:16" ht="15" customHeight="1">
      <c r="A72" s="196" t="s">
        <v>102</v>
      </c>
      <c r="B72" s="92" t="s">
        <v>31</v>
      </c>
      <c r="C72" s="211">
        <v>2500</v>
      </c>
      <c r="D72" s="431" t="s">
        <v>712</v>
      </c>
      <c r="E72" s="213" t="s">
        <v>716</v>
      </c>
      <c r="F72" s="217" t="str">
        <f t="shared" si="0"/>
        <v/>
      </c>
      <c r="G72" s="218">
        <v>43600</v>
      </c>
      <c r="H72" s="219">
        <v>43600</v>
      </c>
      <c r="I72" s="219">
        <v>51000</v>
      </c>
      <c r="J72" s="219">
        <v>57600</v>
      </c>
      <c r="K72" s="223">
        <v>57600</v>
      </c>
      <c r="L72" s="218">
        <v>165300</v>
      </c>
      <c r="M72" s="219">
        <v>130600</v>
      </c>
      <c r="N72" s="512">
        <v>0.4</v>
      </c>
      <c r="O72" s="219"/>
      <c r="P72" s="223"/>
    </row>
    <row r="73" spans="1:16" ht="15" customHeight="1">
      <c r="A73" s="196" t="s">
        <v>103</v>
      </c>
      <c r="B73" s="92" t="s">
        <v>28</v>
      </c>
      <c r="C73" s="211">
        <v>50000</v>
      </c>
      <c r="D73" s="211">
        <v>460000</v>
      </c>
      <c r="E73" s="167" t="s">
        <v>715</v>
      </c>
      <c r="F73" s="217">
        <f t="shared" si="0"/>
        <v>1700000</v>
      </c>
      <c r="G73" s="218">
        <v>52400</v>
      </c>
      <c r="H73" s="219">
        <v>52400</v>
      </c>
      <c r="I73" s="219">
        <v>61400</v>
      </c>
      <c r="J73" s="219">
        <v>69300</v>
      </c>
      <c r="K73" s="223">
        <v>69300</v>
      </c>
      <c r="L73" s="218">
        <v>198900</v>
      </c>
      <c r="M73" s="219">
        <v>156900</v>
      </c>
      <c r="N73" s="512">
        <v>0.4</v>
      </c>
      <c r="O73" s="219"/>
      <c r="P73" s="223"/>
    </row>
    <row r="74" spans="1:16" ht="15" customHeight="1">
      <c r="A74" s="196" t="s">
        <v>104</v>
      </c>
      <c r="B74" s="92" t="s">
        <v>31</v>
      </c>
      <c r="C74" s="211">
        <v>2500</v>
      </c>
      <c r="D74" s="431" t="s">
        <v>712</v>
      </c>
      <c r="E74" s="167" t="s">
        <v>715</v>
      </c>
      <c r="F74" s="217" t="str">
        <f t="shared" si="0"/>
        <v/>
      </c>
      <c r="G74" s="218">
        <v>76500</v>
      </c>
      <c r="H74" s="219">
        <v>76500</v>
      </c>
      <c r="I74" s="219">
        <v>89600</v>
      </c>
      <c r="J74" s="219">
        <v>101000</v>
      </c>
      <c r="K74" s="223">
        <v>101000</v>
      </c>
      <c r="L74" s="218">
        <v>214600</v>
      </c>
      <c r="M74" s="219">
        <v>169500</v>
      </c>
      <c r="N74" s="512">
        <v>0.33</v>
      </c>
      <c r="O74" s="219"/>
      <c r="P74" s="223"/>
    </row>
    <row r="75" spans="1:16" ht="15" customHeight="1">
      <c r="A75" s="196" t="s">
        <v>105</v>
      </c>
      <c r="B75" s="92" t="s">
        <v>31</v>
      </c>
      <c r="C75" s="211">
        <v>5000</v>
      </c>
      <c r="D75" s="431" t="s">
        <v>712</v>
      </c>
      <c r="E75" s="167" t="s">
        <v>715</v>
      </c>
      <c r="F75" s="217" t="str">
        <f>IF(B75="Medium",1700000,IF(B75="Large",2375000,""))</f>
        <v/>
      </c>
      <c r="G75" s="218">
        <v>69800</v>
      </c>
      <c r="H75" s="219">
        <v>69800</v>
      </c>
      <c r="I75" s="219">
        <v>81800</v>
      </c>
      <c r="J75" s="219">
        <v>92200</v>
      </c>
      <c r="K75" s="223">
        <v>92200</v>
      </c>
      <c r="L75" s="218">
        <v>211900</v>
      </c>
      <c r="M75" s="219">
        <v>167200</v>
      </c>
      <c r="N75" s="512">
        <v>0.35</v>
      </c>
      <c r="O75" s="219"/>
      <c r="P75" s="223"/>
    </row>
    <row r="76" spans="1:16" ht="15" customHeight="1">
      <c r="A76" s="196" t="s">
        <v>713</v>
      </c>
      <c r="B76" s="92" t="s">
        <v>31</v>
      </c>
      <c r="C76" s="211">
        <v>2500</v>
      </c>
      <c r="D76" s="431" t="s">
        <v>712</v>
      </c>
      <c r="E76" s="213" t="s">
        <v>716</v>
      </c>
      <c r="F76" s="217" t="str">
        <f>IF(B76="Medium",1700000,IF(B76="Large",2375000,""))</f>
        <v/>
      </c>
      <c r="G76" s="218">
        <v>43600</v>
      </c>
      <c r="H76" s="219">
        <v>43600</v>
      </c>
      <c r="I76" s="219">
        <v>51000</v>
      </c>
      <c r="J76" s="219">
        <v>57600</v>
      </c>
      <c r="K76" s="223">
        <v>57600</v>
      </c>
      <c r="L76" s="218">
        <v>165300</v>
      </c>
      <c r="M76" s="219">
        <v>130600</v>
      </c>
      <c r="N76" s="512">
        <v>0.4</v>
      </c>
      <c r="O76" s="219"/>
      <c r="P76" s="223"/>
    </row>
    <row r="77" spans="1:16">
      <c r="K77" s="221"/>
    </row>
    <row r="78" spans="1:16">
      <c r="A78" s="1804" t="s">
        <v>937</v>
      </c>
      <c r="B78" s="1805"/>
      <c r="C78" s="1805"/>
      <c r="D78" s="1805"/>
      <c r="E78" s="1805"/>
      <c r="F78" s="1805"/>
      <c r="G78" s="1806"/>
      <c r="K78" s="221"/>
    </row>
    <row r="79" spans="1:16">
      <c r="K79" s="221"/>
    </row>
    <row r="80" spans="1:16">
      <c r="A80" s="471" t="s">
        <v>422</v>
      </c>
      <c r="B80" s="471"/>
      <c r="C80" s="469">
        <v>5520000</v>
      </c>
      <c r="D80" s="471" t="s">
        <v>954</v>
      </c>
      <c r="E80" s="472"/>
      <c r="F80" s="471"/>
      <c r="G80" s="471"/>
      <c r="K80" s="221"/>
    </row>
    <row r="81" spans="1:11">
      <c r="A81" s="471" t="s">
        <v>422</v>
      </c>
      <c r="B81" s="471"/>
      <c r="C81" s="469">
        <v>80000</v>
      </c>
      <c r="D81" s="471" t="s">
        <v>958</v>
      </c>
      <c r="E81" s="472"/>
      <c r="F81" s="471"/>
      <c r="G81" s="471"/>
      <c r="K81" s="221"/>
    </row>
    <row r="82" spans="1:11">
      <c r="A82" s="471" t="s">
        <v>422</v>
      </c>
      <c r="B82" s="471"/>
      <c r="C82" s="469">
        <v>125000</v>
      </c>
      <c r="D82" s="471" t="s">
        <v>959</v>
      </c>
      <c r="E82" s="472"/>
      <c r="F82" s="471"/>
      <c r="G82" s="471"/>
      <c r="K82" s="221"/>
    </row>
    <row r="83" spans="1:11">
      <c r="A83" s="471" t="s">
        <v>422</v>
      </c>
      <c r="B83" s="471"/>
      <c r="C83" s="469">
        <v>6500000</v>
      </c>
      <c r="D83" s="471" t="s">
        <v>955</v>
      </c>
      <c r="E83" s="472"/>
      <c r="F83" s="471"/>
      <c r="G83" s="471"/>
      <c r="K83" s="221"/>
    </row>
    <row r="84" spans="1:11">
      <c r="A84" s="471" t="s">
        <v>422</v>
      </c>
      <c r="B84" s="471"/>
      <c r="C84" s="469">
        <v>80000</v>
      </c>
      <c r="D84" s="471" t="s">
        <v>956</v>
      </c>
      <c r="E84" s="472"/>
      <c r="F84" s="471"/>
      <c r="G84" s="471"/>
      <c r="K84" s="221"/>
    </row>
    <row r="85" spans="1:11">
      <c r="A85" s="471" t="s">
        <v>437</v>
      </c>
      <c r="B85" s="471"/>
      <c r="C85" s="469">
        <v>7000000</v>
      </c>
      <c r="D85" s="471" t="s">
        <v>946</v>
      </c>
      <c r="E85" s="472"/>
      <c r="F85" s="471"/>
      <c r="G85" s="471"/>
      <c r="K85" s="221"/>
    </row>
    <row r="86" spans="1:11">
      <c r="A86" s="471" t="s">
        <v>437</v>
      </c>
      <c r="B86" s="471"/>
      <c r="C86" s="469">
        <v>6000000</v>
      </c>
      <c r="D86" s="471" t="s">
        <v>947</v>
      </c>
      <c r="E86" s="472"/>
      <c r="F86" s="471"/>
      <c r="G86" s="471"/>
      <c r="K86" s="221"/>
    </row>
    <row r="87" spans="1:11">
      <c r="A87" s="471" t="s">
        <v>437</v>
      </c>
      <c r="B87" s="471"/>
      <c r="C87" s="469">
        <v>3000000</v>
      </c>
      <c r="D87" s="471" t="s">
        <v>951</v>
      </c>
      <c r="E87" s="472"/>
      <c r="F87" s="471"/>
      <c r="G87" s="471"/>
      <c r="K87" s="221"/>
    </row>
    <row r="88" spans="1:11">
      <c r="A88" s="471" t="s">
        <v>437</v>
      </c>
      <c r="B88" s="471"/>
      <c r="C88" s="469">
        <v>5000000</v>
      </c>
      <c r="D88" s="471" t="s">
        <v>948</v>
      </c>
      <c r="E88" s="472"/>
      <c r="F88" s="471"/>
      <c r="G88" s="471"/>
      <c r="K88" s="221"/>
    </row>
    <row r="89" spans="1:11">
      <c r="A89" s="471" t="s">
        <v>437</v>
      </c>
      <c r="B89" s="471"/>
      <c r="C89" s="469">
        <v>2950000</v>
      </c>
      <c r="D89" s="471" t="s">
        <v>983</v>
      </c>
      <c r="E89" s="472"/>
      <c r="F89" s="471"/>
      <c r="G89" s="471"/>
      <c r="K89" s="221"/>
    </row>
    <row r="90" spans="1:11">
      <c r="A90" s="471" t="s">
        <v>437</v>
      </c>
      <c r="B90" s="471"/>
      <c r="C90" s="469">
        <v>100000</v>
      </c>
      <c r="D90" s="471" t="s">
        <v>980</v>
      </c>
      <c r="E90" s="472"/>
      <c r="F90" s="471"/>
      <c r="G90" s="471"/>
      <c r="K90" s="221"/>
    </row>
    <row r="91" spans="1:11">
      <c r="A91" s="221" t="s">
        <v>437</v>
      </c>
      <c r="B91" s="221"/>
      <c r="C91" s="1136">
        <v>50000</v>
      </c>
      <c r="D91" s="221" t="s">
        <v>981</v>
      </c>
      <c r="E91" s="224"/>
      <c r="F91" s="221"/>
      <c r="G91" s="221"/>
      <c r="K91" s="221"/>
    </row>
    <row r="92" spans="1:11">
      <c r="A92" s="221" t="s">
        <v>437</v>
      </c>
      <c r="B92" s="221"/>
      <c r="C92" s="1136">
        <v>30000</v>
      </c>
      <c r="D92" s="221" t="s">
        <v>953</v>
      </c>
      <c r="E92" s="224"/>
      <c r="F92" s="221"/>
      <c r="G92" s="221"/>
      <c r="H92" s="221"/>
      <c r="I92" s="221"/>
      <c r="J92" s="221"/>
      <c r="K92" s="221"/>
    </row>
    <row r="93" spans="1:11">
      <c r="A93" s="1137" t="s">
        <v>437</v>
      </c>
      <c r="B93" s="1137"/>
      <c r="C93" s="1138">
        <v>70000</v>
      </c>
      <c r="D93" s="1137" t="s">
        <v>952</v>
      </c>
      <c r="E93" s="1139"/>
      <c r="F93" s="1137"/>
      <c r="G93" s="1137"/>
      <c r="H93" s="1137"/>
      <c r="I93" s="1137"/>
      <c r="J93" s="1137"/>
      <c r="K93" s="221"/>
    </row>
    <row r="94" spans="1:11">
      <c r="A94" s="471" t="s">
        <v>724</v>
      </c>
      <c r="B94" s="471"/>
      <c r="C94" s="469">
        <v>600000</v>
      </c>
      <c r="D94" s="471" t="s">
        <v>938</v>
      </c>
      <c r="E94" s="472"/>
      <c r="F94" s="471"/>
      <c r="G94" s="471"/>
      <c r="K94" s="221"/>
    </row>
    <row r="95" spans="1:11">
      <c r="A95" s="471" t="s">
        <v>724</v>
      </c>
      <c r="B95" s="471"/>
      <c r="C95" s="470" t="s">
        <v>940</v>
      </c>
      <c r="D95" s="471" t="s">
        <v>939</v>
      </c>
      <c r="E95" s="472"/>
      <c r="F95" s="471"/>
      <c r="G95" s="471"/>
      <c r="K95" s="221"/>
    </row>
    <row r="96" spans="1:11">
      <c r="A96" s="471" t="s">
        <v>965</v>
      </c>
      <c r="B96" s="471"/>
      <c r="C96" s="488">
        <v>0.25</v>
      </c>
      <c r="D96" s="471" t="s">
        <v>987</v>
      </c>
      <c r="E96" s="472"/>
      <c r="F96" s="471"/>
      <c r="G96" s="471"/>
    </row>
    <row r="97" spans="1:12">
      <c r="A97" s="471" t="s">
        <v>965</v>
      </c>
      <c r="B97" s="471"/>
      <c r="C97" s="488">
        <v>0.35</v>
      </c>
      <c r="D97" s="471" t="s">
        <v>988</v>
      </c>
      <c r="E97" s="472"/>
      <c r="F97" s="471"/>
      <c r="G97" s="471"/>
      <c r="K97" s="221"/>
    </row>
    <row r="98" spans="1:12">
      <c r="A98" s="1141" t="s">
        <v>559</v>
      </c>
      <c r="B98" s="471"/>
      <c r="C98" s="469">
        <v>6000000</v>
      </c>
      <c r="D98" s="471" t="s">
        <v>938</v>
      </c>
      <c r="E98" s="472"/>
      <c r="F98" s="472"/>
      <c r="G98" s="472"/>
      <c r="H98" s="472"/>
      <c r="I98" s="472"/>
    </row>
    <row r="99" spans="1:12">
      <c r="A99" s="471" t="str">
        <f>A98</f>
        <v>HOME</v>
      </c>
      <c r="B99" s="471"/>
      <c r="C99" s="469">
        <v>137983</v>
      </c>
      <c r="D99" s="471" t="s">
        <v>941</v>
      </c>
      <c r="E99" s="472"/>
      <c r="F99" s="472"/>
      <c r="G99" s="472"/>
      <c r="H99" s="472"/>
      <c r="I99" s="472"/>
    </row>
    <row r="100" spans="1:12">
      <c r="A100" s="471" t="str">
        <f>A99</f>
        <v>HOME</v>
      </c>
      <c r="B100" s="471"/>
      <c r="C100" s="469">
        <v>158177</v>
      </c>
      <c r="D100" s="471" t="s">
        <v>942</v>
      </c>
      <c r="E100" s="472"/>
      <c r="F100" s="472"/>
      <c r="G100" s="472"/>
      <c r="H100" s="472"/>
      <c r="I100" s="472"/>
    </row>
    <row r="101" spans="1:12">
      <c r="A101" s="471" t="str">
        <f>A100</f>
        <v>HOME</v>
      </c>
      <c r="B101" s="471"/>
      <c r="C101" s="469">
        <v>192346</v>
      </c>
      <c r="D101" s="471" t="s">
        <v>943</v>
      </c>
      <c r="E101" s="472"/>
      <c r="F101" s="472"/>
      <c r="G101" s="472"/>
      <c r="H101" s="472"/>
      <c r="I101" s="472"/>
    </row>
    <row r="102" spans="1:12">
      <c r="A102" s="471" t="str">
        <f>A101</f>
        <v>HOME</v>
      </c>
      <c r="B102" s="471"/>
      <c r="C102" s="469">
        <v>248834</v>
      </c>
      <c r="D102" s="471" t="s">
        <v>944</v>
      </c>
      <c r="E102" s="472"/>
      <c r="F102" s="472"/>
      <c r="G102" s="472"/>
      <c r="H102" s="472"/>
      <c r="I102" s="472"/>
    </row>
    <row r="103" spans="1:12">
      <c r="A103" s="471" t="str">
        <f>A102</f>
        <v>HOME</v>
      </c>
      <c r="B103" s="471"/>
      <c r="C103" s="469">
        <v>273141</v>
      </c>
      <c r="D103" s="471" t="s">
        <v>945</v>
      </c>
      <c r="E103" s="472"/>
      <c r="F103" s="472"/>
      <c r="G103" s="472"/>
      <c r="H103" s="472"/>
      <c r="I103" s="472"/>
    </row>
    <row r="104" spans="1:12">
      <c r="A104" s="1141" t="s">
        <v>1579</v>
      </c>
      <c r="B104" s="471"/>
      <c r="C104" s="469">
        <v>2950000</v>
      </c>
      <c r="D104" s="471" t="s">
        <v>938</v>
      </c>
      <c r="E104" s="472"/>
      <c r="G104" s="1140" t="s">
        <v>1581</v>
      </c>
      <c r="H104" s="1140" t="s">
        <v>1583</v>
      </c>
      <c r="I104" s="1140" t="s">
        <v>1582</v>
      </c>
      <c r="J104" s="221"/>
      <c r="K104" s="1159" t="s">
        <v>1647</v>
      </c>
      <c r="L104" s="1175" t="s">
        <v>815</v>
      </c>
    </row>
    <row r="105" spans="1:12">
      <c r="A105" s="471" t="str">
        <f>A104</f>
        <v>HOME-ARP</v>
      </c>
      <c r="B105" s="471"/>
      <c r="C105" s="470">
        <f>IF(K$104=K$108,G105,IF(K$104=K$109,H105,I105))</f>
        <v>0</v>
      </c>
      <c r="D105" s="471" t="s">
        <v>939</v>
      </c>
      <c r="E105" s="472"/>
      <c r="G105" s="1144">
        <f>VLOOKUP(County,DS_CountyData,12)</f>
        <v>0</v>
      </c>
      <c r="H105" s="1144">
        <f>VLOOKUP(County,DS_CountyData,13)</f>
        <v>0</v>
      </c>
      <c r="I105" s="470">
        <f>Data1!W174</f>
        <v>0</v>
      </c>
      <c r="J105" s="221"/>
      <c r="L105" s="1177"/>
    </row>
    <row r="106" spans="1:12">
      <c r="A106" s="1141" t="s">
        <v>725</v>
      </c>
      <c r="B106" s="471"/>
      <c r="C106" s="469">
        <v>2500000</v>
      </c>
      <c r="D106" s="471" t="s">
        <v>938</v>
      </c>
      <c r="E106" s="472"/>
      <c r="G106" s="1140" t="s">
        <v>1633</v>
      </c>
      <c r="H106" s="1140" t="s">
        <v>1634</v>
      </c>
      <c r="I106" s="1140" t="s">
        <v>1635</v>
      </c>
      <c r="K106" s="1159" t="s">
        <v>1647</v>
      </c>
      <c r="L106" s="1176" t="s">
        <v>815</v>
      </c>
    </row>
    <row r="107" spans="1:12">
      <c r="A107" s="471" t="str">
        <f>A106</f>
        <v>NHTF</v>
      </c>
      <c r="B107" s="471"/>
      <c r="C107" s="470">
        <f>IF(K$106=K$108,G107,IF(K$106=K$109,H107,I107))</f>
        <v>0</v>
      </c>
      <c r="D107" s="471" t="s">
        <v>939</v>
      </c>
      <c r="E107" s="472"/>
      <c r="G107" s="1156">
        <f>VLOOKUP(County,DS_CountyData,12)</f>
        <v>0</v>
      </c>
      <c r="H107" s="470">
        <f>VLOOKUP(County,DS_CountyData,13)</f>
        <v>0</v>
      </c>
      <c r="I107" s="470">
        <f>IF(COUNTIF('Proposed Development Info'!H$72:H$86,MAX('Proposed Development Info'!H$72:H$86))=1,VLOOKUP(IF(OR(County="Broward",County="Miami-Dade",County="Palm Beach"),CHOOSE(IFERROR(MATCH(MAX('Proposed Development Info'!H$72:H$86),'Proposed Development Info'!H$72:H$86,0),0)+1," ","SFNCGAE","SFNCGAW","SFNCMRE","SFNCMRW","SFNCHRE","SFNCGAE","SFNCGAW","SFNCGAE","SFNCGAW","SFRCGA","SFRCGA","SFRCNGA","SFRCNGA","SFRCGA","SFRCGA"),CHOOSE(IFERROR(MATCH(MAX('Proposed Development Info'!H$72:H$86),'Proposed Development Info'!H$72:H$86,0),0)+1," ","PFNCGAE","PFNCGAW","PFNCMRE","PFNCMRW","PFNCHRE","PFNCGAE","PFNCGAW","PFNCGAE","PFNCGAW","PFRCGA","PFRCGA","PFRCNGA","PFRCNGA","PFRCGA","PFRCGA")),DS_MAX_NHTF,IF(Data3!L$106=Data3!J$178,8,9)),MAX(VLOOKUP(IF(OR(County="Broward",County="Miami-Dade",County="Palm Beach"),CHOOSE(IFERROR(MATCH(MAX('Proposed Development Info'!H$72:H$86),'Proposed Development Info'!H$72:H$86,0),0)+1," ","SFNCGAE","SFNCGAW","SFNCMRE","SFNCMRW","SFNCHRE","SFNCGAE","SFNCGAW","SFNCGAE","SFNCGAW","SFRCGA","SFRCGA","SFRCNGA","SFRCNGA","SFRCGA","SFRCGA"),CHOOSE(IFERROR(MATCH(MAX('Proposed Development Info'!H$72:H$86),'Proposed Development Info'!H$72:H$86,0),0)+1," ","PFNCGAE","PFNCGAW","PFNCMRE","PFNCMRW","PFNCHRE","PFNCGAE","PFNCGAW","PFNCGAE","PFNCGAW","PFRCGA","PFRCGA","PFRCNGA","PFRCNGA","PFRCGA","PFRCGA")),DS_MAX_NHTF,IF(Data3!L$106=Data3!J$178,8,9)),VLOOKUP(IF(OR(County="Broward",County="Miami-Dade",County="Palm Beach"),CHOOSE(IFERROR(MAX('Proposed Development Info'!J$72:J$86),0)+1," ","SFNCGAE","SFNCGAW","SFNCMRE","SFNCMRW","SFNCHRE","SFNCGAE","SFNCGAW","SFNCGAE","SFNCGAW","SFRCGA","SFRCGA","SFRCNGA","SFRCNGA","SFRCGA","SFRCGA"),CHOOSE(IFERROR(MAX('Proposed Development Info'!J$72:J$86),0)+1," ","PFNCGAE","PFNCGAW","PFNCMRE","PFNCMRW","PFNCHRE","PFNCGAE","PFNCGAW","PFNCGAE","PFNCGAW","PFRCGA","PFRCGA","PFRCNGA","PFRCNGA","PFRCGA","PFRCGA")),DS_MAX_NHTF,IF(Data3!L$106=Data3!J$178,8,9))))</f>
        <v>0</v>
      </c>
      <c r="K107" s="1146" t="s">
        <v>2</v>
      </c>
      <c r="L107" s="1157" t="s">
        <v>2</v>
      </c>
    </row>
    <row r="108" spans="1:12">
      <c r="A108" s="471" t="str">
        <f>A107</f>
        <v>NHTF</v>
      </c>
      <c r="B108" s="471"/>
      <c r="C108" s="1344">
        <v>0.25</v>
      </c>
      <c r="D108" s="471" t="s">
        <v>1637</v>
      </c>
      <c r="E108" s="472"/>
      <c r="G108" s="1162" t="s">
        <v>1639</v>
      </c>
      <c r="H108" s="1343" t="s">
        <v>196</v>
      </c>
      <c r="I108" s="1155"/>
      <c r="J108" s="221"/>
      <c r="K108" s="1146" t="s">
        <v>1584</v>
      </c>
      <c r="L108" s="1157" t="s">
        <v>1330</v>
      </c>
    </row>
    <row r="109" spans="1:12">
      <c r="A109" s="471" t="str">
        <f>A108</f>
        <v>NHTF</v>
      </c>
      <c r="B109" s="471"/>
      <c r="C109" s="1345">
        <v>10</v>
      </c>
      <c r="D109" s="471" t="s">
        <v>1638</v>
      </c>
      <c r="E109" s="472"/>
      <c r="G109" s="470" t="s">
        <v>1639</v>
      </c>
      <c r="H109" s="1163" t="str">
        <f>IF(H108="Yes","No",IF(H108="No","Yes",H108))</f>
        <v>No</v>
      </c>
      <c r="I109" s="1155"/>
      <c r="J109" s="221"/>
      <c r="K109" s="1147" t="s">
        <v>1585</v>
      </c>
      <c r="L109" s="1158" t="s">
        <v>815</v>
      </c>
    </row>
    <row r="110" spans="1:12">
      <c r="A110" s="471" t="s">
        <v>966</v>
      </c>
      <c r="B110" s="471"/>
      <c r="C110" s="469">
        <v>4600000</v>
      </c>
      <c r="D110" s="471" t="s">
        <v>938</v>
      </c>
      <c r="E110" s="472"/>
      <c r="F110" s="471"/>
      <c r="G110" s="471"/>
      <c r="H110" s="600" t="s">
        <v>1109</v>
      </c>
      <c r="K110" s="1170" t="s">
        <v>1647</v>
      </c>
    </row>
    <row r="111" spans="1:12">
      <c r="A111" s="471" t="s">
        <v>1059</v>
      </c>
      <c r="B111" s="471"/>
      <c r="C111" s="469">
        <v>2882000</v>
      </c>
      <c r="D111" s="569" t="s">
        <v>1064</v>
      </c>
      <c r="E111" s="559"/>
      <c r="F111" s="471"/>
      <c r="G111" s="471"/>
      <c r="H111" t="s">
        <v>1110</v>
      </c>
    </row>
    <row r="112" spans="1:12">
      <c r="A112" s="471" t="s">
        <v>1059</v>
      </c>
      <c r="B112" s="471"/>
      <c r="C112" s="469">
        <v>2375000</v>
      </c>
      <c r="D112" s="569" t="s">
        <v>1053</v>
      </c>
      <c r="E112" s="559"/>
      <c r="F112" s="471"/>
      <c r="G112" s="471"/>
      <c r="H112" t="s">
        <v>1111</v>
      </c>
    </row>
    <row r="113" spans="1:9">
      <c r="A113" s="471" t="s">
        <v>1059</v>
      </c>
      <c r="B113" s="471"/>
      <c r="C113" s="469">
        <v>1868000</v>
      </c>
      <c r="D113" s="569" t="s">
        <v>1113</v>
      </c>
      <c r="E113" s="559"/>
      <c r="F113" s="471"/>
      <c r="G113" s="471"/>
      <c r="H113" t="s">
        <v>50</v>
      </c>
    </row>
    <row r="114" spans="1:9">
      <c r="A114" s="471" t="s">
        <v>1059</v>
      </c>
      <c r="B114" s="471"/>
      <c r="C114" s="469">
        <v>1573250</v>
      </c>
      <c r="D114" s="569" t="s">
        <v>1055</v>
      </c>
      <c r="E114" s="559"/>
      <c r="F114" s="471"/>
      <c r="G114" s="471"/>
      <c r="H114" t="s">
        <v>1114</v>
      </c>
    </row>
    <row r="115" spans="1:9">
      <c r="A115" s="471" t="s">
        <v>1059</v>
      </c>
      <c r="B115" s="471"/>
      <c r="C115" s="469">
        <v>1700000</v>
      </c>
      <c r="D115" s="569" t="s">
        <v>1054</v>
      </c>
      <c r="E115" s="559"/>
      <c r="F115" s="471"/>
      <c r="G115" s="471"/>
      <c r="H115" t="s">
        <v>1112</v>
      </c>
    </row>
    <row r="116" spans="1:9">
      <c r="A116" s="471" t="s">
        <v>1059</v>
      </c>
      <c r="B116" s="471"/>
      <c r="C116" s="469">
        <v>2375000</v>
      </c>
      <c r="D116" s="569" t="s">
        <v>1056</v>
      </c>
      <c r="E116" s="559"/>
      <c r="F116" s="471"/>
      <c r="G116" s="471"/>
      <c r="H116" t="s">
        <v>1115</v>
      </c>
    </row>
    <row r="117" spans="1:9">
      <c r="A117" s="471" t="s">
        <v>1059</v>
      </c>
      <c r="B117" s="471"/>
      <c r="C117" s="469">
        <v>1453700</v>
      </c>
      <c r="D117" s="569" t="s">
        <v>1065</v>
      </c>
      <c r="E117" s="559"/>
      <c r="F117" s="471"/>
      <c r="G117" s="471"/>
      <c r="H117" t="s">
        <v>1116</v>
      </c>
    </row>
    <row r="118" spans="1:9">
      <c r="A118" s="471" t="s">
        <v>1059</v>
      </c>
      <c r="B118" s="471"/>
      <c r="C118" s="469">
        <v>1490000</v>
      </c>
      <c r="D118" s="569" t="s">
        <v>1057</v>
      </c>
      <c r="E118" s="559"/>
      <c r="F118" s="471"/>
      <c r="G118" s="471"/>
      <c r="H118" t="s">
        <v>1117</v>
      </c>
    </row>
    <row r="119" spans="1:9">
      <c r="A119" s="471" t="s">
        <v>1059</v>
      </c>
      <c r="B119" s="471"/>
      <c r="C119" s="469">
        <v>2980000</v>
      </c>
      <c r="D119" s="569" t="s">
        <v>1058</v>
      </c>
      <c r="E119" s="559"/>
      <c r="F119" s="471"/>
      <c r="G119" s="471"/>
      <c r="H119" t="s">
        <v>1118</v>
      </c>
    </row>
    <row r="120" spans="1:9">
      <c r="A120" s="471" t="s">
        <v>1059</v>
      </c>
      <c r="B120" s="471"/>
      <c r="C120" s="469">
        <v>36000</v>
      </c>
      <c r="D120" s="569" t="s">
        <v>1062</v>
      </c>
      <c r="E120" s="559"/>
      <c r="F120" s="471"/>
      <c r="G120" s="471"/>
      <c r="H120" t="s">
        <v>1117</v>
      </c>
    </row>
    <row r="121" spans="1:9">
      <c r="A121" s="471" t="s">
        <v>1059</v>
      </c>
      <c r="B121" s="471"/>
      <c r="C121" s="469">
        <v>25000</v>
      </c>
      <c r="D121" s="569" t="s">
        <v>1063</v>
      </c>
      <c r="E121" s="559"/>
      <c r="F121" s="471"/>
      <c r="G121" s="471"/>
      <c r="H121" t="s">
        <v>1118</v>
      </c>
    </row>
    <row r="124" spans="1:9">
      <c r="A124" s="1804" t="s">
        <v>1144</v>
      </c>
      <c r="B124" s="1805"/>
      <c r="C124" s="1805"/>
      <c r="D124" s="1805"/>
      <c r="E124" s="1805"/>
      <c r="F124" s="1805"/>
      <c r="G124" s="1806"/>
    </row>
    <row r="125" spans="1:9">
      <c r="I125" s="396" t="s">
        <v>1997</v>
      </c>
    </row>
    <row r="126" spans="1:9">
      <c r="A126" t="s">
        <v>1145</v>
      </c>
      <c r="G126" s="603">
        <v>1</v>
      </c>
      <c r="I126" s="1446">
        <v>9</v>
      </c>
    </row>
    <row r="127" spans="1:9">
      <c r="A127" t="s">
        <v>1158</v>
      </c>
      <c r="G127" s="603">
        <v>1</v>
      </c>
      <c r="I127" s="1447">
        <v>1.1499999999999999</v>
      </c>
    </row>
    <row r="128" spans="1:9">
      <c r="A128" t="s">
        <v>1146</v>
      </c>
      <c r="G128" s="603">
        <v>1</v>
      </c>
      <c r="I128" s="1447">
        <v>0.88</v>
      </c>
    </row>
    <row r="129" spans="1:9">
      <c r="A129" t="s">
        <v>1147</v>
      </c>
      <c r="G129" s="603">
        <v>1</v>
      </c>
      <c r="I129" s="1447">
        <v>0.93</v>
      </c>
    </row>
    <row r="130" spans="1:9">
      <c r="A130" t="s">
        <v>1148</v>
      </c>
      <c r="G130" s="603">
        <v>1</v>
      </c>
      <c r="I130" s="1447">
        <v>0.87</v>
      </c>
    </row>
    <row r="131" spans="1:9">
      <c r="A131" t="s">
        <v>1149</v>
      </c>
      <c r="G131" s="603">
        <v>1</v>
      </c>
      <c r="I131" s="1447">
        <v>0.82</v>
      </c>
    </row>
    <row r="132" spans="1:9">
      <c r="A132" t="s">
        <v>1150</v>
      </c>
      <c r="G132" s="603">
        <v>1</v>
      </c>
      <c r="I132" s="1447">
        <v>0.85</v>
      </c>
    </row>
    <row r="133" spans="1:9">
      <c r="A133" t="s">
        <v>1151</v>
      </c>
      <c r="G133" s="603">
        <v>1</v>
      </c>
      <c r="I133" s="1447">
        <v>0.92</v>
      </c>
    </row>
    <row r="134" spans="1:9">
      <c r="A134" t="s">
        <v>1152</v>
      </c>
      <c r="G134" s="603">
        <v>1</v>
      </c>
      <c r="I134" s="1447">
        <v>1</v>
      </c>
    </row>
    <row r="136" spans="1:9">
      <c r="A136" s="1804" t="s">
        <v>1185</v>
      </c>
      <c r="B136" s="1805"/>
      <c r="C136" s="1805"/>
      <c r="D136" s="1805"/>
      <c r="E136" s="1805"/>
      <c r="F136" s="1805"/>
      <c r="G136" s="1806"/>
    </row>
    <row r="138" spans="1:9">
      <c r="A138" t="s">
        <v>1178</v>
      </c>
      <c r="G138" s="604">
        <v>5.25</v>
      </c>
    </row>
    <row r="139" spans="1:9">
      <c r="A139" t="s">
        <v>1179</v>
      </c>
      <c r="G139" s="604">
        <v>11</v>
      </c>
      <c r="H139" s="629" t="s">
        <v>1184</v>
      </c>
    </row>
    <row r="140" spans="1:9">
      <c r="A140" t="s">
        <v>1156</v>
      </c>
      <c r="G140" s="605">
        <v>3.1709999999999998</v>
      </c>
    </row>
    <row r="141" spans="1:9">
      <c r="A141" t="s">
        <v>1155</v>
      </c>
      <c r="G141" s="605">
        <v>1.6020000000000001</v>
      </c>
    </row>
    <row r="142" spans="1:9">
      <c r="A142" t="s">
        <v>1157</v>
      </c>
      <c r="G142" s="605">
        <v>2.5129999999999999</v>
      </c>
    </row>
    <row r="143" spans="1:9">
      <c r="A143" t="s">
        <v>1154</v>
      </c>
      <c r="G143" s="605">
        <v>2.9260000000000002</v>
      </c>
    </row>
    <row r="144" spans="1:9">
      <c r="A144" t="s">
        <v>1145</v>
      </c>
      <c r="G144" s="606">
        <f>G126</f>
        <v>1</v>
      </c>
    </row>
    <row r="145" spans="1:9">
      <c r="A145" t="s">
        <v>1174</v>
      </c>
      <c r="G145" s="1346" t="s">
        <v>197</v>
      </c>
      <c r="H145" s="167">
        <f>IF(DS_FLJobs_HC="Yes",1,0)</f>
        <v>0</v>
      </c>
    </row>
    <row r="146" spans="1:9">
      <c r="A146" t="s">
        <v>1730</v>
      </c>
      <c r="G146" s="1347" t="s">
        <v>197</v>
      </c>
      <c r="H146" s="167">
        <f>IF(DS_FLJobs_Workforce="Yes",1,0)</f>
        <v>0</v>
      </c>
    </row>
    <row r="147" spans="1:9">
      <c r="A147" t="s">
        <v>1176</v>
      </c>
      <c r="G147" s="1346" t="s">
        <v>196</v>
      </c>
      <c r="H147" s="167">
        <f>IF(DS_FLJobs_SAIL="Yes",1,0)</f>
        <v>1</v>
      </c>
    </row>
    <row r="148" spans="1:9">
      <c r="A148" t="s">
        <v>1177</v>
      </c>
      <c r="G148" s="1346" t="s">
        <v>197</v>
      </c>
      <c r="H148" s="167">
        <f>IF(DS_FLJobs_HOME="Yes",1,0)</f>
        <v>0</v>
      </c>
    </row>
    <row r="149" spans="1:9">
      <c r="A149" t="s">
        <v>1731</v>
      </c>
      <c r="G149" s="1347" t="s">
        <v>196</v>
      </c>
      <c r="H149" s="167">
        <f>IF(DS_FLJobs_HOME_ARP="Yes",1,0)</f>
        <v>1</v>
      </c>
    </row>
    <row r="150" spans="1:9">
      <c r="A150" t="s">
        <v>1175</v>
      </c>
      <c r="G150" s="1346" t="s">
        <v>197</v>
      </c>
      <c r="H150" s="167">
        <f>IF(DS_FLJobs_Grant="Yes",1,0)</f>
        <v>0</v>
      </c>
      <c r="I150" s="620" t="s">
        <v>1180</v>
      </c>
    </row>
    <row r="151" spans="1:9">
      <c r="A151" t="s">
        <v>1181</v>
      </c>
      <c r="G151" s="1348">
        <f>ROUND(IF(MIN(Competitive_HC_Request_Amount,N(Max_Competitive_HC))*DS_FLJobs_MP_HC*H145+MIN(Workforce_Request_Amount,N(Max_Workforce))*H146+MIN(SAIL_Request_Amount,N(Max_SAIL))*H147+MIN(HOME_Request_Amount,N(Max_HOME))*H148+MIN(ARP_Request_Amount,N(Max_ARP))*H149+MIN(Grant_Request_Amount,N(Max_Grant))*H150=0,0,((SUM('Proposed Development Info'!H72:H80)-SUM('Proposed Development Info'!H77:H78))*DS_FLJobs_MFNC+SUM('Proposed Development Info'!H77:H78)*DS_FLJobs_SFNC+SUM('Proposed Development Info'!H81:H86)*IF(Development_Category="Rehabilitation",DS_FLJobs_MFRO,DS_FLJobs_MFAR))*1000000/(MIN(Competitive_HC_Request_Amount,N(Max_Competitive_HC))*DS_FLJobs_MP_HC*H145+MIN(Workforce_Request_Amount,N(Max_Workforce))*H146+MIN(SAIL_Request_Amount,N(Max_SAIL))*H147+MIN(HOME_Request_Amount,N(Max_HOME))*H148+MIN(ARP_Request_Amount,N(Max_ARP))*H149+MIN(Grant_Request_Amount,N(Max_Grant))*H150)),2)</f>
        <v>0</v>
      </c>
      <c r="H151" s="620" t="s">
        <v>1182</v>
      </c>
    </row>
    <row r="153" spans="1:9">
      <c r="A153" s="1804" t="s">
        <v>1461</v>
      </c>
      <c r="B153" s="1805"/>
      <c r="C153" s="1805"/>
      <c r="D153" s="1805"/>
      <c r="E153" s="1805"/>
      <c r="F153" s="1805"/>
      <c r="G153" s="1806"/>
    </row>
    <row r="155" spans="1:9">
      <c r="A155" t="s">
        <v>1508</v>
      </c>
      <c r="G155" s="532">
        <v>0.14000000000000001</v>
      </c>
    </row>
    <row r="156" spans="1:9">
      <c r="A156" t="s">
        <v>1505</v>
      </c>
      <c r="G156" s="532">
        <v>0.05</v>
      </c>
    </row>
    <row r="157" spans="1:9">
      <c r="A157" t="s">
        <v>1506</v>
      </c>
      <c r="G157" s="532">
        <v>0.15</v>
      </c>
    </row>
    <row r="158" spans="1:9">
      <c r="A158" t="s">
        <v>1507</v>
      </c>
      <c r="G158" s="532">
        <v>0.05</v>
      </c>
    </row>
    <row r="159" spans="1:9">
      <c r="A159" t="s">
        <v>1498</v>
      </c>
      <c r="G159" s="532">
        <v>0.16</v>
      </c>
    </row>
    <row r="160" spans="1:9">
      <c r="A160" t="s">
        <v>1499</v>
      </c>
      <c r="G160" s="532">
        <f>DS_MaxDevFeeAcq_Percent</f>
        <v>0.16</v>
      </c>
    </row>
    <row r="161" spans="1:10">
      <c r="A161" t="s">
        <v>1500</v>
      </c>
      <c r="G161" s="532">
        <v>0</v>
      </c>
    </row>
    <row r="162" spans="1:10">
      <c r="G162" s="943"/>
    </row>
    <row r="163" spans="1:10">
      <c r="A163" s="1066" t="s">
        <v>1542</v>
      </c>
      <c r="B163" s="1068"/>
      <c r="C163" s="1068"/>
      <c r="D163" s="1068"/>
      <c r="E163" s="1069"/>
      <c r="F163" s="1067" t="s">
        <v>4</v>
      </c>
      <c r="G163" s="107" t="s">
        <v>5</v>
      </c>
      <c r="H163" s="107" t="s">
        <v>6</v>
      </c>
      <c r="J163" s="1070" t="s">
        <v>195</v>
      </c>
    </row>
    <row r="164" spans="1:10">
      <c r="A164" s="684" t="s">
        <v>789</v>
      </c>
      <c r="B164" s="684"/>
      <c r="C164" s="684"/>
      <c r="F164" s="102">
        <v>1</v>
      </c>
      <c r="G164" s="105">
        <f>IF(F164&lt;&gt;1,"",SUM(F$164:F164))</f>
        <v>1</v>
      </c>
      <c r="H164" s="102">
        <v>1</v>
      </c>
      <c r="J164" s="165" t="str">
        <f>IF(COUNTA($A164:$A$164)&lt;=MAX(DS_ProAppSource_Sequence)=TRUE,LOOKUP(COUNTA($A164:$A$164),DS_ProAppSource_Sequence,DS_ProAppSource_Name),"")</f>
        <v>FHFC - MMRB</v>
      </c>
    </row>
    <row r="165" spans="1:10">
      <c r="A165" s="684" t="s">
        <v>790</v>
      </c>
      <c r="B165" s="684"/>
      <c r="C165" s="684"/>
      <c r="F165" s="102">
        <v>1</v>
      </c>
      <c r="G165" s="105">
        <f>IF(F165&lt;&gt;1,"",SUM(F$164:F165))</f>
        <v>2</v>
      </c>
      <c r="H165" s="102">
        <v>2</v>
      </c>
      <c r="J165" s="165" t="str">
        <f>IF(COUNTA($A$164:$A165)&lt;=MAX(DS_ProAppSource_Sequence)=TRUE,LOOKUP(COUNTA($A$164:$A165),DS_ProAppSource_Sequence,DS_ProAppSource_Name),"")</f>
        <v>Local HFA Bonds</v>
      </c>
    </row>
    <row r="166" spans="1:10">
      <c r="A166" s="684" t="s">
        <v>797</v>
      </c>
      <c r="B166" s="684"/>
      <c r="C166" s="684"/>
      <c r="F166" s="102">
        <v>1</v>
      </c>
      <c r="G166" s="105">
        <f>IF(F166&lt;&gt;1,"",SUM(F$164:F166))</f>
        <v>3</v>
      </c>
      <c r="H166" s="102">
        <v>3</v>
      </c>
      <c r="J166" s="165" t="str">
        <f>IF(COUNTA($A$164:$A166)&lt;=MAX(DS_ProAppSource_Sequence)=TRUE,LOOKUP(COUNTA($A$164:$A166),DS_ProAppSource_Sequence,DS_ProAppSource_Name),"")</f>
        <v>Regulated Mortgage Lender</v>
      </c>
    </row>
    <row r="167" spans="1:10">
      <c r="A167" s="684" t="s">
        <v>796</v>
      </c>
      <c r="B167" s="684"/>
      <c r="C167" s="684"/>
      <c r="F167" s="102">
        <v>1</v>
      </c>
      <c r="G167" s="105">
        <f>IF(F167&lt;&gt;1,"",SUM(F$164:F167))</f>
        <v>4</v>
      </c>
      <c r="H167" s="102">
        <v>4</v>
      </c>
      <c r="J167" s="165" t="str">
        <f>IF(COUNTA($A$164:$A167)&lt;=MAX(DS_ProAppSource_Sequence)=TRUE,LOOKUP(COUNTA($A$164:$A167),DS_ProAppSource_Sequence,DS_ProAppSource_Name),"")</f>
        <v>Local Government Subsidy</v>
      </c>
    </row>
    <row r="168" spans="1:10">
      <c r="A168" s="684" t="s">
        <v>966</v>
      </c>
      <c r="B168" s="684"/>
      <c r="C168" s="684"/>
      <c r="F168" s="102">
        <v>0</v>
      </c>
      <c r="G168" s="105" t="str">
        <f>IF(F168&lt;&gt;1,"",SUM(F$164:F168))</f>
        <v/>
      </c>
      <c r="H168" s="102">
        <v>5</v>
      </c>
      <c r="J168" s="165" t="str">
        <f>IF(COUNTA($A$164:$A168)&lt;=MAX(DS_ProAppSource_Sequence)=TRUE,LOOKUP(COUNTA($A$164:$A168),DS_ProAppSource_Sequence,DS_ProAppSource_Name),"")</f>
        <v>Seller Financing</v>
      </c>
    </row>
    <row r="169" spans="1:10">
      <c r="A169" s="684" t="s">
        <v>791</v>
      </c>
      <c r="B169" s="684"/>
      <c r="C169" s="684"/>
      <c r="F169" s="102">
        <v>1</v>
      </c>
      <c r="G169" s="105">
        <f>IF(F169&lt;&gt;1,"",SUM(F$164:F169))</f>
        <v>5</v>
      </c>
      <c r="H169" s="102">
        <v>6</v>
      </c>
      <c r="J169" s="165" t="str">
        <f>IF(COUNTA($A$164:$A169)&lt;=MAX(DS_ProAppSource_Sequence)=TRUE,LOOKUP(COUNTA($A$164:$A169),DS_ProAppSource_Sequence,DS_ProAppSource_Name),"")</f>
        <v>USDA RD 514/516</v>
      </c>
    </row>
    <row r="170" spans="1:10">
      <c r="A170" s="684" t="s">
        <v>792</v>
      </c>
      <c r="B170" s="684"/>
      <c r="C170" s="684"/>
      <c r="F170" s="102">
        <v>0</v>
      </c>
      <c r="G170" s="105" t="str">
        <f>IF(F170&lt;&gt;1,"",SUM(F$164:F170))</f>
        <v/>
      </c>
      <c r="H170" s="102">
        <v>7</v>
      </c>
      <c r="J170" s="165" t="str">
        <f>IF(COUNTA($A$164:$A170)&lt;=MAX(DS_ProAppSource_Sequence)=TRUE,LOOKUP(COUNTA($A$164:$A170),DS_ProAppSource_Sequence,DS_ProAppSource_Name),"")</f>
        <v>USDA RD 538</v>
      </c>
    </row>
    <row r="171" spans="1:10">
      <c r="A171" s="684" t="s">
        <v>795</v>
      </c>
      <c r="B171" s="684"/>
      <c r="C171" s="684"/>
      <c r="F171" s="102">
        <v>1</v>
      </c>
      <c r="G171" s="105">
        <f>IF(F171&lt;&gt;1,"",SUM(F$164:F171))</f>
        <v>6</v>
      </c>
      <c r="H171" s="102">
        <v>8</v>
      </c>
      <c r="J171" s="165" t="str">
        <f>IF(COUNTA($A$164:$A171)&lt;=MAX(DS_ProAppSource_Sequence)=TRUE,LOOKUP(COUNTA($A$164:$A171),DS_ProAppSource_Sequence,DS_ProAppSource_Name),"")</f>
        <v>Deferred Development Costs</v>
      </c>
    </row>
    <row r="172" spans="1:10">
      <c r="A172" s="684" t="s">
        <v>794</v>
      </c>
      <c r="B172" s="684"/>
      <c r="C172" s="684"/>
      <c r="F172" s="102">
        <v>0</v>
      </c>
      <c r="G172" s="105" t="str">
        <f>IF(F172&lt;&gt;1,"",SUM(F$164:F172))</f>
        <v/>
      </c>
      <c r="H172" s="102">
        <v>9</v>
      </c>
      <c r="J172" s="165" t="str">
        <f>IF(COUNTA($A$164:$A172)&lt;=MAX(DS_ProAppSource_Sequence)=TRUE,LOOKUP(COUNTA($A$164:$A172),DS_ProAppSource_Sequence,DS_ProAppSource_Name),"")</f>
        <v>Other</v>
      </c>
    </row>
    <row r="173" spans="1:10">
      <c r="A173" s="684" t="s">
        <v>793</v>
      </c>
      <c r="B173" s="684"/>
      <c r="C173" s="684"/>
      <c r="F173" s="102">
        <v>1</v>
      </c>
      <c r="G173" s="105">
        <f>IF(F173&lt;&gt;1,"",SUM(F$164:F173))</f>
        <v>7</v>
      </c>
      <c r="H173" s="102">
        <v>10</v>
      </c>
      <c r="J173" s="165" t="str">
        <f>IF(COUNTA($A$164:$A173)&lt;=MAX(DS_ProAppSource_Sequence)=TRUE,LOOKUP(COUNTA($A$164:$A173),DS_ProAppSource_Sequence,DS_ProAppSource_Name),"")</f>
        <v/>
      </c>
    </row>
    <row r="174" spans="1:10">
      <c r="A174" s="684" t="s">
        <v>1580</v>
      </c>
      <c r="B174" s="684"/>
      <c r="C174" s="684"/>
      <c r="F174" s="102">
        <v>1</v>
      </c>
      <c r="G174" s="105">
        <f>IF(F174&lt;&gt;1,"",SUM(F$164:F174))</f>
        <v>8</v>
      </c>
      <c r="H174" s="102">
        <v>11</v>
      </c>
      <c r="J174" s="165" t="str">
        <f>IF(COUNTA($A$164:$A174)&lt;=MAX(DS_ProAppSource_Sequence)=TRUE,LOOKUP(COUNTA($A$164:$A174),DS_ProAppSource_Sequence,DS_ProAppSource_Name),"")</f>
        <v/>
      </c>
    </row>
    <row r="175" spans="1:10">
      <c r="A175" s="684" t="s">
        <v>119</v>
      </c>
      <c r="B175" s="684"/>
      <c r="C175" s="684"/>
      <c r="F175" s="102">
        <v>1</v>
      </c>
      <c r="G175" s="105">
        <f>IF(F175&lt;&gt;1,"",SUM(F$164:F175))</f>
        <v>9</v>
      </c>
      <c r="H175" s="102">
        <v>12</v>
      </c>
      <c r="J175" s="165" t="str">
        <f>IF(COUNTA($A$164:$A175)&lt;=MAX(DS_ProAppSource_Sequence)=TRUE,LOOKUP(COUNTA($A$164:$A175),DS_ProAppSource_Sequence,DS_ProAppSource_Name),"")</f>
        <v/>
      </c>
    </row>
    <row r="177" spans="1:15">
      <c r="A177" s="1804" t="s">
        <v>1159</v>
      </c>
      <c r="B177" s="1805"/>
      <c r="C177" s="1805"/>
      <c r="D177" s="1805"/>
      <c r="E177" s="1805"/>
      <c r="F177" s="1805"/>
      <c r="G177" s="1806"/>
      <c r="J177" s="1802" t="s">
        <v>1530</v>
      </c>
      <c r="K177" s="1803"/>
    </row>
    <row r="178" spans="1:15">
      <c r="G178" s="814" t="s">
        <v>1330</v>
      </c>
      <c r="H178" s="815" t="s">
        <v>815</v>
      </c>
      <c r="I178" s="396"/>
      <c r="J178" s="814" t="s">
        <v>1330</v>
      </c>
      <c r="K178" s="815" t="s">
        <v>815</v>
      </c>
    </row>
    <row r="179" spans="1:15">
      <c r="C179" t="s">
        <v>711</v>
      </c>
      <c r="G179" s="604">
        <v>0</v>
      </c>
      <c r="H179" s="812">
        <v>0</v>
      </c>
      <c r="J179" s="604"/>
      <c r="K179" s="812">
        <v>0</v>
      </c>
    </row>
    <row r="180" spans="1:15">
      <c r="A180" t="s">
        <v>814</v>
      </c>
      <c r="C180" t="s">
        <v>1590</v>
      </c>
      <c r="G180" s="604">
        <v>370000</v>
      </c>
      <c r="H180" s="812">
        <v>311900</v>
      </c>
      <c r="J180" s="604"/>
      <c r="K180" s="812">
        <f>275000+IF(K$194="Yes",5000,0)</f>
        <v>275000</v>
      </c>
    </row>
    <row r="181" spans="1:15">
      <c r="A181" t="s">
        <v>813</v>
      </c>
      <c r="C181" t="s">
        <v>1591</v>
      </c>
      <c r="G181" s="604">
        <v>320000</v>
      </c>
      <c r="H181" s="812">
        <v>270100</v>
      </c>
      <c r="J181" s="604"/>
      <c r="K181" s="812">
        <f>260000+IF(K$194="Yes",5000,0)</f>
        <v>260000</v>
      </c>
    </row>
    <row r="182" spans="1:15">
      <c r="A182" t="s">
        <v>812</v>
      </c>
      <c r="C182" t="s">
        <v>1586</v>
      </c>
      <c r="G182" s="604">
        <v>420000</v>
      </c>
      <c r="H182" s="812">
        <v>358000</v>
      </c>
      <c r="J182" s="604"/>
      <c r="K182" s="812">
        <f>335000+IF(K$194="Yes",5000,0)</f>
        <v>335000</v>
      </c>
    </row>
    <row r="183" spans="1:15">
      <c r="A183" t="s">
        <v>811</v>
      </c>
      <c r="C183" t="s">
        <v>1587</v>
      </c>
      <c r="G183" s="604">
        <v>410000</v>
      </c>
      <c r="H183" s="812">
        <v>344700</v>
      </c>
      <c r="J183" s="604"/>
      <c r="K183" s="812">
        <f>290000+IF(K$194="Yes",5000,0)</f>
        <v>290000</v>
      </c>
    </row>
    <row r="184" spans="1:15">
      <c r="A184" t="s">
        <v>810</v>
      </c>
      <c r="C184" t="s">
        <v>1588</v>
      </c>
      <c r="G184" s="604">
        <v>370000</v>
      </c>
      <c r="H184" s="812">
        <v>311900</v>
      </c>
      <c r="J184" s="604"/>
      <c r="K184" s="812">
        <f>275000+IF(K$194="Yes",5000,0)</f>
        <v>275000</v>
      </c>
    </row>
    <row r="185" spans="1:15">
      <c r="A185" t="s">
        <v>809</v>
      </c>
      <c r="C185" t="s">
        <v>1589</v>
      </c>
      <c r="G185" s="604">
        <v>170000</v>
      </c>
      <c r="H185" s="812">
        <v>146900</v>
      </c>
      <c r="J185" s="1044"/>
      <c r="K185" s="1044"/>
    </row>
    <row r="186" spans="1:15">
      <c r="A186" s="613" t="s">
        <v>808</v>
      </c>
      <c r="B186" s="1137"/>
      <c r="C186" s="1137" t="s">
        <v>1592</v>
      </c>
      <c r="D186" s="613"/>
      <c r="E186" s="614"/>
      <c r="F186" s="613"/>
      <c r="G186" s="615">
        <v>260000</v>
      </c>
      <c r="H186" s="813">
        <v>221600</v>
      </c>
      <c r="J186" s="1045"/>
      <c r="K186" s="1045"/>
    </row>
    <row r="187" spans="1:15">
      <c r="A187" t="s">
        <v>807</v>
      </c>
      <c r="C187" t="s">
        <v>1593</v>
      </c>
      <c r="G187" s="604">
        <v>390000</v>
      </c>
      <c r="H187" s="812">
        <v>327100</v>
      </c>
      <c r="J187" s="604"/>
      <c r="K187" s="812">
        <f>295000+IF(K$194="Yes",5000,0)</f>
        <v>295000</v>
      </c>
      <c r="N187" s="1145"/>
      <c r="O187" s="1145"/>
    </row>
    <row r="188" spans="1:15">
      <c r="A188" t="s">
        <v>806</v>
      </c>
      <c r="C188" t="s">
        <v>1594</v>
      </c>
      <c r="G188" s="604">
        <v>340000</v>
      </c>
      <c r="H188" s="812">
        <v>284500</v>
      </c>
      <c r="J188" s="1044"/>
      <c r="K188" s="1044"/>
    </row>
    <row r="189" spans="1:15">
      <c r="A189" t="s">
        <v>805</v>
      </c>
      <c r="C189" t="s">
        <v>1595</v>
      </c>
      <c r="G189" s="604">
        <v>440000</v>
      </c>
      <c r="H189" s="812">
        <v>374700</v>
      </c>
      <c r="J189" s="604"/>
      <c r="K189" s="812">
        <f>370000+IF(K$194="Yes",5000,0)</f>
        <v>370000</v>
      </c>
    </row>
    <row r="190" spans="1:15">
      <c r="A190" t="s">
        <v>804</v>
      </c>
      <c r="C190" t="s">
        <v>1596</v>
      </c>
      <c r="G190" s="604">
        <v>430000</v>
      </c>
      <c r="H190" s="812">
        <v>361000</v>
      </c>
      <c r="J190" s="604"/>
      <c r="K190" s="812">
        <f>315000+IF(K$194="Yes",5000,0)</f>
        <v>315000</v>
      </c>
    </row>
    <row r="191" spans="1:15">
      <c r="A191" t="s">
        <v>803</v>
      </c>
      <c r="C191" t="s">
        <v>1597</v>
      </c>
      <c r="G191" s="604">
        <v>390000</v>
      </c>
      <c r="H191" s="812">
        <v>327100</v>
      </c>
      <c r="J191" s="1044"/>
      <c r="K191" s="1044"/>
    </row>
    <row r="192" spans="1:15">
      <c r="A192" t="s">
        <v>802</v>
      </c>
      <c r="C192" t="s">
        <v>1598</v>
      </c>
      <c r="G192" s="604">
        <v>180000</v>
      </c>
      <c r="H192" s="812">
        <v>153600</v>
      </c>
      <c r="J192" s="1044"/>
      <c r="K192" s="1044"/>
    </row>
    <row r="193" spans="1:12">
      <c r="A193" t="s">
        <v>801</v>
      </c>
      <c r="C193" t="s">
        <v>1599</v>
      </c>
      <c r="G193" s="604">
        <v>270000</v>
      </c>
      <c r="H193" s="812">
        <v>232600</v>
      </c>
      <c r="J193" s="1044"/>
      <c r="K193" s="1044"/>
    </row>
    <row r="194" spans="1:12">
      <c r="J194" s="137" t="s">
        <v>1650</v>
      </c>
      <c r="K194" s="1709" t="str">
        <f>IF(Total_Units&gt;11,"Yes","No")</f>
        <v>No</v>
      </c>
      <c r="L194" s="1377"/>
    </row>
    <row r="197" spans="1:12">
      <c r="A197" s="1804" t="s">
        <v>1195</v>
      </c>
      <c r="B197" s="1805"/>
      <c r="C197" s="1805"/>
      <c r="D197" s="1805"/>
      <c r="E197" s="1805"/>
      <c r="F197" s="1805"/>
      <c r="G197" s="1806"/>
    </row>
    <row r="198" spans="1:12">
      <c r="F198" s="636" t="s">
        <v>4</v>
      </c>
      <c r="H198" s="206"/>
    </row>
    <row r="199" spans="1:12">
      <c r="A199" t="s">
        <v>1160</v>
      </c>
      <c r="F199" s="102">
        <v>1</v>
      </c>
      <c r="G199" s="102">
        <v>7500</v>
      </c>
    </row>
    <row r="200" spans="1:12">
      <c r="A200" t="s">
        <v>1161</v>
      </c>
      <c r="F200" s="102">
        <v>0</v>
      </c>
      <c r="G200" s="102">
        <v>7500</v>
      </c>
    </row>
    <row r="201" spans="1:12">
      <c r="A201" t="s">
        <v>1162</v>
      </c>
      <c r="F201" s="102">
        <v>0</v>
      </c>
      <c r="G201" s="102">
        <v>0.95</v>
      </c>
    </row>
    <row r="202" spans="1:12">
      <c r="A202" t="s">
        <v>1192</v>
      </c>
      <c r="F202" s="102">
        <v>1</v>
      </c>
      <c r="G202" s="102">
        <v>0.9</v>
      </c>
    </row>
    <row r="203" spans="1:12">
      <c r="A203" s="12" t="s">
        <v>1193</v>
      </c>
      <c r="B203" s="12"/>
      <c r="C203" s="12"/>
      <c r="D203" s="12"/>
      <c r="F203" s="102">
        <v>0</v>
      </c>
      <c r="G203" s="102">
        <v>0.9</v>
      </c>
    </row>
    <row r="204" spans="1:12">
      <c r="A204" s="12" t="s">
        <v>1194</v>
      </c>
      <c r="B204" s="12"/>
      <c r="C204" s="12"/>
      <c r="D204" s="12"/>
      <c r="F204" s="102">
        <v>0</v>
      </c>
      <c r="G204" s="102">
        <v>0.95</v>
      </c>
    </row>
    <row r="205" spans="1:12">
      <c r="A205" t="s">
        <v>1163</v>
      </c>
      <c r="F205" s="102">
        <v>0</v>
      </c>
      <c r="G205" s="102">
        <v>0.6</v>
      </c>
    </row>
    <row r="206" spans="1:12">
      <c r="A206" t="s">
        <v>1164</v>
      </c>
      <c r="D206" t="s">
        <v>1196</v>
      </c>
      <c r="F206" s="102">
        <v>1</v>
      </c>
      <c r="G206" s="102">
        <v>0.65</v>
      </c>
    </row>
    <row r="207" spans="1:12">
      <c r="A207" t="s">
        <v>1165</v>
      </c>
      <c r="D207" t="s">
        <v>1196</v>
      </c>
      <c r="F207" s="102">
        <v>1</v>
      </c>
      <c r="G207" s="102">
        <v>0.5</v>
      </c>
    </row>
    <row r="208" spans="1:12">
      <c r="A208" t="s">
        <v>1685</v>
      </c>
      <c r="F208" s="102">
        <v>0</v>
      </c>
      <c r="G208" s="102">
        <v>1</v>
      </c>
    </row>
    <row r="209" spans="1:13">
      <c r="A209" t="s">
        <v>1686</v>
      </c>
      <c r="F209" s="102">
        <v>0</v>
      </c>
      <c r="G209" s="102">
        <v>1</v>
      </c>
    </row>
    <row r="213" spans="1:13">
      <c r="A213" t="s">
        <v>1453</v>
      </c>
    </row>
    <row r="215" spans="1:13">
      <c r="H215" s="629"/>
    </row>
    <row r="217" spans="1:13">
      <c r="A217" s="1804" t="s">
        <v>1729</v>
      </c>
      <c r="B217" s="1805"/>
      <c r="C217" s="1805"/>
      <c r="D217" s="1805"/>
      <c r="E217" s="1805"/>
      <c r="F217" s="1805"/>
      <c r="G217" s="1806"/>
      <c r="H217" s="1358" t="s">
        <v>4</v>
      </c>
      <c r="I217" s="1359" t="s">
        <v>1927</v>
      </c>
      <c r="J217" s="1239" t="s">
        <v>991</v>
      </c>
    </row>
    <row r="218" spans="1:13">
      <c r="A218" s="208" t="s">
        <v>1721</v>
      </c>
      <c r="B218" s="1353" t="s">
        <v>1722</v>
      </c>
      <c r="C218" s="1238"/>
      <c r="D218" s="1238"/>
      <c r="E218" s="1238"/>
      <c r="F218" s="1238"/>
      <c r="G218" s="1238"/>
      <c r="H218" s="588">
        <v>1</v>
      </c>
      <c r="I218" s="102">
        <v>4</v>
      </c>
      <c r="J218" s="206" t="str">
        <f>IF(DS_FLJobs_Score&gt;=DS_FLJobs_Min_Score1,"Yes",IF(DS_FLJobs_Score&lt;DS_FLJobs_Min_Score1,"No","NA"))</f>
        <v>No</v>
      </c>
      <c r="K218" s="14" t="str">
        <f t="shared" ref="K218:K228" si="1">IF(H218="","",IF(H218=0,"Not ","")&amp;"Applicable to this RFA")</f>
        <v>Applicable to this RFA</v>
      </c>
      <c r="M218" s="42"/>
    </row>
    <row r="219" spans="1:13">
      <c r="A219" s="208" t="s">
        <v>1721</v>
      </c>
      <c r="B219" s="1354" t="s">
        <v>1299</v>
      </c>
      <c r="C219" s="518"/>
      <c r="D219" s="518"/>
      <c r="E219" s="518"/>
      <c r="F219" s="518"/>
      <c r="G219" s="518"/>
      <c r="H219" s="588">
        <v>1</v>
      </c>
      <c r="I219" s="102">
        <v>1</v>
      </c>
      <c r="J219" s="206" t="str">
        <f>IF(OR(Funding!I226="Yes",DonationOfLand="Yes"),"Yes",IF(AND(Funding!I226&lt;&gt;"Yes",DonationOfLand&lt;&gt;"Yes"),"No",""))</f>
        <v>No</v>
      </c>
      <c r="K219" s="14" t="str">
        <f t="shared" si="1"/>
        <v>Applicable to this RFA</v>
      </c>
      <c r="M219" s="42"/>
    </row>
    <row r="220" spans="1:13">
      <c r="A220" s="208" t="s">
        <v>1721</v>
      </c>
      <c r="B220" s="1354" t="s">
        <v>445</v>
      </c>
      <c r="C220" s="518"/>
      <c r="D220" s="518"/>
      <c r="E220" s="518"/>
      <c r="F220" s="518"/>
      <c r="G220" s="518"/>
      <c r="H220" s="588">
        <v>0</v>
      </c>
      <c r="I220" s="102"/>
      <c r="J220" s="206" t="str">
        <f>IFERROR(IF(OR(Development_Category="New Construction",Development_Category="Redevelopment",Development_Category="Acquisition and Redevelopment",Actual_Constructioncost_total/Total_Units&gt;=PU_Constr_Fund_Pref_Dollar),"Yes","No"),"TBD")</f>
        <v>TBD</v>
      </c>
      <c r="K220" s="14" t="str">
        <f t="shared" si="1"/>
        <v>Not Applicable to this RFA</v>
      </c>
      <c r="M220" s="42"/>
    </row>
    <row r="221" spans="1:13">
      <c r="A221" s="208" t="s">
        <v>1721</v>
      </c>
      <c r="B221" s="1354" t="s">
        <v>1723</v>
      </c>
      <c r="C221" s="518"/>
      <c r="D221" s="518"/>
      <c r="E221" s="518"/>
      <c r="F221" s="518"/>
      <c r="G221" s="518"/>
      <c r="H221" s="588">
        <v>0</v>
      </c>
      <c r="I221" s="102"/>
      <c r="J221" s="206"/>
      <c r="K221" s="14" t="str">
        <f t="shared" si="1"/>
        <v>Not Applicable to this RFA</v>
      </c>
      <c r="M221" s="42"/>
    </row>
    <row r="222" spans="1:13">
      <c r="A222" s="208" t="s">
        <v>1721</v>
      </c>
      <c r="B222" s="1354" t="s">
        <v>1724</v>
      </c>
      <c r="C222" s="518"/>
      <c r="D222" s="518"/>
      <c r="E222" s="518"/>
      <c r="F222" s="518"/>
      <c r="G222" s="518"/>
      <c r="H222" s="588">
        <v>0</v>
      </c>
      <c r="I222" s="102"/>
      <c r="J222" s="206"/>
      <c r="K222" s="14" t="str">
        <f t="shared" si="1"/>
        <v>Not Applicable to this RFA</v>
      </c>
      <c r="M222" s="42"/>
    </row>
    <row r="223" spans="1:13">
      <c r="A223" s="208" t="s">
        <v>1721</v>
      </c>
      <c r="B223" s="1354" t="s">
        <v>1725</v>
      </c>
      <c r="C223" s="518"/>
      <c r="D223" s="518"/>
      <c r="E223" s="518"/>
      <c r="F223" s="518"/>
      <c r="G223" s="518"/>
      <c r="H223" s="588">
        <v>0</v>
      </c>
      <c r="I223" s="102"/>
      <c r="J223" s="206"/>
      <c r="K223" s="14" t="str">
        <f t="shared" si="1"/>
        <v>Not Applicable to this RFA</v>
      </c>
      <c r="M223" s="42"/>
    </row>
    <row r="224" spans="1:13">
      <c r="A224" s="208" t="s">
        <v>1721</v>
      </c>
      <c r="B224" s="1354" t="s">
        <v>1987</v>
      </c>
      <c r="C224" s="518"/>
      <c r="D224" s="518"/>
      <c r="E224" s="518"/>
      <c r="F224" s="518"/>
      <c r="G224" s="518"/>
      <c r="H224" s="588">
        <v>1</v>
      </c>
      <c r="I224" s="102">
        <v>2</v>
      </c>
      <c r="J224" s="1429" t="str">
        <f>IFERROR((MIN(Max_SAIL,SAIL_Request_Amount)+MIN(Max_ARP,ARP_Request_Amount))/N(Total_Units),"TBD")</f>
        <v>TBD</v>
      </c>
      <c r="K224" s="14" t="str">
        <f t="shared" si="1"/>
        <v>Applicable to this RFA</v>
      </c>
      <c r="M224" s="42"/>
    </row>
    <row r="225" spans="1:14">
      <c r="A225" s="208" t="s">
        <v>1721</v>
      </c>
      <c r="B225" s="1354" t="s">
        <v>1988</v>
      </c>
      <c r="C225" s="518"/>
      <c r="D225" s="518"/>
      <c r="E225" s="518"/>
      <c r="F225" s="518"/>
      <c r="G225" s="518"/>
      <c r="H225" s="588">
        <v>1</v>
      </c>
      <c r="I225" s="102">
        <v>3</v>
      </c>
      <c r="J225" s="1428" t="str">
        <f>IFERROR(IF((MIN(Max_ARP,ARP_Request_Amount)+MIN(Max_SAIL,SAIL_Request_Amount))/TDC_total&lt;=0.9,"Yes","No"),"TBD")</f>
        <v>TBD</v>
      </c>
      <c r="K225" s="14" t="str">
        <f t="shared" si="1"/>
        <v>Applicable to this RFA</v>
      </c>
      <c r="M225" s="42"/>
    </row>
    <row r="226" spans="1:14">
      <c r="A226" s="208" t="s">
        <v>1721</v>
      </c>
      <c r="B226" s="1354" t="s">
        <v>1726</v>
      </c>
      <c r="C226" s="518"/>
      <c r="D226" s="518"/>
      <c r="E226" s="518"/>
      <c r="F226" s="518"/>
      <c r="G226" s="518"/>
      <c r="H226" s="588">
        <v>0</v>
      </c>
      <c r="I226" s="102"/>
      <c r="J226" s="206"/>
      <c r="K226" s="14" t="str">
        <f t="shared" si="1"/>
        <v>Not Applicable to this RFA</v>
      </c>
      <c r="M226" s="42"/>
    </row>
    <row r="227" spans="1:14">
      <c r="A227" t="s">
        <v>1721</v>
      </c>
      <c r="B227" s="517" t="s">
        <v>1727</v>
      </c>
      <c r="C227" s="518"/>
      <c r="D227" s="518"/>
      <c r="E227" s="518"/>
      <c r="F227" s="518"/>
      <c r="G227" s="518"/>
      <c r="H227" s="588">
        <v>0</v>
      </c>
      <c r="I227" s="102"/>
      <c r="J227" s="206"/>
      <c r="K227" s="14" t="str">
        <f t="shared" si="1"/>
        <v>Not Applicable to this RFA</v>
      </c>
      <c r="M227" s="42"/>
    </row>
    <row r="228" spans="1:14">
      <c r="A228" t="s">
        <v>1721</v>
      </c>
      <c r="B228" s="517" t="s">
        <v>1728</v>
      </c>
      <c r="C228" s="518"/>
      <c r="D228" s="518"/>
      <c r="E228" s="518"/>
      <c r="F228" s="518"/>
      <c r="G228" s="518"/>
      <c r="H228" s="588">
        <v>0</v>
      </c>
      <c r="I228" s="102"/>
      <c r="J228" s="206"/>
      <c r="K228" s="14" t="str">
        <f t="shared" si="1"/>
        <v>Not Applicable to this RFA</v>
      </c>
      <c r="M228" s="42"/>
    </row>
    <row r="229" spans="1:14" s="208" customFormat="1">
      <c r="B229" s="1356"/>
      <c r="C229" s="1356"/>
      <c r="D229" s="1356"/>
      <c r="E229" s="1356"/>
      <c r="F229" s="1356"/>
      <c r="G229" s="1356"/>
      <c r="H229" s="966"/>
      <c r="I229" s="966"/>
      <c r="J229" s="1355"/>
      <c r="K229" s="1123"/>
      <c r="L229" s="1122"/>
      <c r="M229" s="45"/>
      <c r="N229" s="19"/>
    </row>
    <row r="230" spans="1:14" s="208" customFormat="1">
      <c r="B230" s="1357"/>
      <c r="C230" s="1357"/>
      <c r="D230" s="1357"/>
      <c r="E230" s="1357"/>
      <c r="F230" s="1357"/>
      <c r="G230" s="1357"/>
      <c r="H230" s="766"/>
      <c r="I230" s="766"/>
      <c r="J230" s="766"/>
      <c r="K230" s="802"/>
      <c r="L230" s="1122"/>
      <c r="M230" s="3"/>
      <c r="N230" s="11"/>
    </row>
    <row r="231" spans="1:14" s="208" customFormat="1">
      <c r="B231" s="1357"/>
      <c r="C231" s="1357"/>
      <c r="D231" s="1357"/>
      <c r="E231" s="1357"/>
      <c r="F231" s="1357"/>
      <c r="G231" s="1357"/>
      <c r="H231" s="1357"/>
      <c r="I231" s="1357"/>
      <c r="J231" s="766"/>
      <c r="K231" s="802"/>
      <c r="L231" s="766"/>
      <c r="M231" s="766"/>
      <c r="N231" s="766"/>
    </row>
    <row r="232" spans="1:14" s="208" customFormat="1">
      <c r="B232" s="1357"/>
      <c r="C232" s="1357"/>
      <c r="D232" s="1357"/>
      <c r="E232" s="1357"/>
      <c r="F232" s="1357"/>
      <c r="G232" s="1357"/>
      <c r="H232" s="1357"/>
      <c r="I232" s="1357"/>
      <c r="J232" s="766"/>
      <c r="K232" s="802"/>
      <c r="L232" s="766"/>
      <c r="M232" s="766"/>
      <c r="N232" s="766"/>
    </row>
    <row r="233" spans="1:14" s="208" customFormat="1">
      <c r="B233" s="1357"/>
      <c r="C233" s="1357"/>
      <c r="D233" s="1357"/>
      <c r="E233" s="1357"/>
      <c r="F233" s="1357"/>
      <c r="G233" s="1357"/>
      <c r="H233" s="1357"/>
      <c r="I233" s="1357"/>
      <c r="J233" s="766"/>
      <c r="K233" s="802"/>
      <c r="L233" s="766"/>
      <c r="M233" s="766"/>
      <c r="N233" s="766"/>
    </row>
    <row r="234" spans="1:14" s="208" customFormat="1">
      <c r="B234" s="766"/>
      <c r="C234" s="766"/>
      <c r="D234" s="766"/>
      <c r="E234" s="1071"/>
      <c r="F234" s="766"/>
      <c r="G234" s="766"/>
      <c r="H234" s="766"/>
      <c r="I234" s="766"/>
      <c r="J234" s="766"/>
      <c r="K234" s="766"/>
      <c r="L234" s="766"/>
      <c r="M234" s="766"/>
      <c r="N234" s="766"/>
    </row>
    <row r="237" spans="1:14">
      <c r="E237" s="224"/>
    </row>
  </sheetData>
  <sheetProtection algorithmName="SHA-512" hashValue="ZkU5nSTns1nSIqZePrM0wFx5iw5woYdz40G8gMicOebruipPi+guHoddQATN5YXA2kSxN1FF7BqKqTXF9Jjvaw==" saltValue="XW0G4hvkvc5tW5Ig9nTebg==" spinCount="100000" sheet="1" selectLockedCells="1"/>
  <mergeCells count="11">
    <mergeCell ref="A217:G217"/>
    <mergeCell ref="A197:G197"/>
    <mergeCell ref="L6:M6"/>
    <mergeCell ref="A124:G124"/>
    <mergeCell ref="A177:G177"/>
    <mergeCell ref="A136:G136"/>
    <mergeCell ref="E2:E8"/>
    <mergeCell ref="A78:G78"/>
    <mergeCell ref="G6:K6"/>
    <mergeCell ref="A153:G153"/>
    <mergeCell ref="J177:K177"/>
  </mergeCells>
  <conditionalFormatting sqref="A10:C76 F10:K76">
    <cfRule type="expression" dxfId="628" priority="92">
      <formula>$G10="Small"</formula>
    </cfRule>
  </conditionalFormatting>
  <conditionalFormatting sqref="E10:E76">
    <cfRule type="cellIs" dxfId="627" priority="91" operator="equal">
      <formula>"Y"</formula>
    </cfRule>
  </conditionalFormatting>
  <conditionalFormatting sqref="E10:E76">
    <cfRule type="expression" dxfId="626" priority="90">
      <formula>$G10="Small"</formula>
    </cfRule>
  </conditionalFormatting>
  <conditionalFormatting sqref="D10:D76">
    <cfRule type="expression" dxfId="625" priority="88">
      <formula>$G10="Small"</formula>
    </cfRule>
  </conditionalFormatting>
  <conditionalFormatting sqref="L10:P76">
    <cfRule type="expression" dxfId="624" priority="83">
      <formula>$G10="Small"</formula>
    </cfRule>
  </conditionalFormatting>
  <conditionalFormatting sqref="F199:G209">
    <cfRule type="expression" dxfId="623" priority="50">
      <formula>ROUND(COUNTA($A$143:$A199)/2,0)=COUNTA($A$143:$A199)/2</formula>
    </cfRule>
  </conditionalFormatting>
  <conditionalFormatting sqref="F164:H175 H218:I228">
    <cfRule type="expression" dxfId="622" priority="48">
      <formula>ROUND(COUNTA(#REF!)/2,0)=COUNTA(#REF!)/2</formula>
    </cfRule>
  </conditionalFormatting>
  <conditionalFormatting sqref="A164:A175">
    <cfRule type="expression" dxfId="621" priority="892">
      <formula>ROUND(COUNTA(#REF!)/2,0)=COUNTA(#REF!)/2</formula>
    </cfRule>
  </conditionalFormatting>
  <conditionalFormatting sqref="A80:J110">
    <cfRule type="expression" dxfId="620" priority="32">
      <formula>$A80&lt;&gt;$A81</formula>
    </cfRule>
    <cfRule type="expression" dxfId="619" priority="33">
      <formula>ROUND(COUNTA($A$80:$A80)/2,0)=COUNTA($A$80:$A80)/2</formula>
    </cfRule>
  </conditionalFormatting>
  <conditionalFormatting sqref="B218:G228 I218:J228">
    <cfRule type="expression" dxfId="618" priority="971">
      <formula>$H218=0</formula>
    </cfRule>
  </conditionalFormatting>
  <dataValidations disablePrompts="1" count="3">
    <dataValidation type="list" allowBlank="1" showInputMessage="1" showErrorMessage="1" sqref="H108 G145:G150" xr:uid="{4D4503F3-E7F5-4330-B713-A61C75F4DF4F}">
      <formula1>"&lt;select one&gt;, Yes, No"</formula1>
    </dataValidation>
    <dataValidation type="list" allowBlank="1" showInputMessage="1" showErrorMessage="1" sqref="K104 K106" xr:uid="{AA509987-C050-44BB-9DDA-A3ED9823FEC9}">
      <formula1>$K$107:$K$110</formula1>
    </dataValidation>
    <dataValidation type="list" allowBlank="1" showInputMessage="1" showErrorMessage="1" sqref="L104 L106" xr:uid="{71FF403A-7E6D-4699-8F54-102FBA77D328}">
      <formula1>$L$107:$L$109</formula1>
    </dataValidation>
  </dataValidations>
  <pageMargins left="0.7" right="0.7" top="0.75" bottom="0.75" header="0.3" footer="0.3"/>
  <pageSetup scale="8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37" id="{4721F7E3-F699-473C-81F1-6A3C6AE215EF}">
            <xm:f>Funding!$N7=0</xm:f>
            <x14:dxf>
              <fill>
                <patternFill patternType="darkUp">
                  <fgColor theme="0" tint="-0.24994659260841701"/>
                </patternFill>
              </fill>
            </x14:dxf>
          </x14:cfRule>
          <xm:sqref>D80:J84</xm:sqref>
        </x14:conditionalFormatting>
        <x14:conditionalFormatting xmlns:xm="http://schemas.microsoft.com/office/excel/2006/main">
          <x14:cfRule type="expression" priority="38" id="{E3B4CAA6-9D75-444A-9E4C-D7F9A96D9603}">
            <xm:f>Funding!$K$15=0</xm:f>
            <x14:dxf>
              <fill>
                <patternFill patternType="darkUp">
                  <fgColor theme="0" tint="-0.24994659260841701"/>
                </patternFill>
              </fill>
            </x14:dxf>
          </x14:cfRule>
          <xm:sqref>A80:A84</xm:sqref>
        </x14:conditionalFormatting>
        <x14:conditionalFormatting xmlns:xm="http://schemas.microsoft.com/office/excel/2006/main">
          <x14:cfRule type="expression" priority="39" id="{1F4B23C8-798B-490B-91FD-1D5A0130D2D1}">
            <xm:f>Funding!$K$34=0</xm:f>
            <x14:dxf>
              <fill>
                <patternFill patternType="darkUp">
                  <fgColor theme="0" tint="-0.24994659260841701"/>
                </patternFill>
              </fill>
            </x14:dxf>
          </x14:cfRule>
          <xm:sqref>A85:A93</xm:sqref>
        </x14:conditionalFormatting>
        <x14:conditionalFormatting xmlns:xm="http://schemas.microsoft.com/office/excel/2006/main">
          <x14:cfRule type="expression" priority="40" id="{E20FBB53-0291-4F9D-8764-D03093009955}">
            <xm:f>Funding!$N20=0</xm:f>
            <x14:dxf>
              <fill>
                <patternFill patternType="darkUp">
                  <fgColor theme="0" tint="-0.24994659260841701"/>
                </patternFill>
              </fill>
            </x14:dxf>
          </x14:cfRule>
          <xm:sqref>D85:J89</xm:sqref>
        </x14:conditionalFormatting>
        <x14:conditionalFormatting xmlns:xm="http://schemas.microsoft.com/office/excel/2006/main">
          <x14:cfRule type="expression" priority="43" id="{4A9B7885-092F-4CC2-8DAD-27B5E3C1F0C4}">
            <xm:f>Funding!$N$30=0</xm:f>
            <x14:dxf>
              <fill>
                <patternFill patternType="darkUp">
                  <fgColor theme="0" tint="-0.24994659260841701"/>
                </patternFill>
              </fill>
            </x14:dxf>
          </x14:cfRule>
          <xm:sqref>D96:J97</xm:sqref>
        </x14:conditionalFormatting>
        <x14:conditionalFormatting xmlns:xm="http://schemas.microsoft.com/office/excel/2006/main">
          <x14:cfRule type="expression" priority="41" id="{CF3BC589-C663-4DE9-B577-040FCBD0544A}">
            <xm:f>Funding!$K$42=0</xm:f>
            <x14:dxf>
              <fill>
                <patternFill patternType="darkUp">
                  <fgColor theme="0" tint="-0.24994659260841701"/>
                </patternFill>
              </fill>
            </x14:dxf>
          </x14:cfRule>
          <xm:sqref>A94:A95</xm:sqref>
        </x14:conditionalFormatting>
        <x14:conditionalFormatting xmlns:xm="http://schemas.microsoft.com/office/excel/2006/main">
          <x14:cfRule type="expression" priority="42" id="{5A77FF55-4E69-4D7C-BB14-29DE4F70008F}">
            <xm:f>Funding!$K$30=0</xm:f>
            <x14:dxf>
              <fill>
                <patternFill patternType="darkUp">
                  <fgColor theme="0" tint="-0.24994659260841701"/>
                </patternFill>
              </fill>
            </x14:dxf>
          </x14:cfRule>
          <xm:sqref>A96:A97</xm:sqref>
        </x14:conditionalFormatting>
        <x14:conditionalFormatting xmlns:xm="http://schemas.microsoft.com/office/excel/2006/main">
          <x14:cfRule type="expression" priority="44" id="{721C3AA3-1B1E-470C-B94B-222782F73F63}">
            <xm:f>Funding!$K$59=0</xm:f>
            <x14:dxf>
              <fill>
                <patternFill patternType="darkUp">
                  <fgColor theme="0" tint="-0.24994659260841701"/>
                </patternFill>
              </fill>
            </x14:dxf>
          </x14:cfRule>
          <xm:sqref>A98:A103</xm:sqref>
        </x14:conditionalFormatting>
        <x14:conditionalFormatting xmlns:xm="http://schemas.microsoft.com/office/excel/2006/main">
          <x14:cfRule type="expression" priority="45" id="{6B68BD9A-36BF-4C89-B178-FBB44E6A066F}">
            <xm:f>Funding!$N49=0</xm:f>
            <x14:dxf>
              <fill>
                <patternFill patternType="darkUp">
                  <fgColor theme="0" tint="-0.24994659260841701"/>
                </patternFill>
              </fill>
            </x14:dxf>
          </x14:cfRule>
          <xm:sqref>D99:J103</xm:sqref>
        </x14:conditionalFormatting>
        <x14:conditionalFormatting xmlns:xm="http://schemas.microsoft.com/office/excel/2006/main">
          <x14:cfRule type="expression" priority="46" id="{1A3F739D-68B5-4232-88B8-4C239A6894F4}">
            <xm:f>Funding!$K$78=0</xm:f>
            <x14:dxf>
              <fill>
                <patternFill patternType="darkUp">
                  <fgColor theme="0" tint="-0.24994659260841701"/>
                </patternFill>
              </fill>
            </x14:dxf>
          </x14:cfRule>
          <xm:sqref>A110 D110:J110</xm:sqref>
        </x14:conditionalFormatting>
        <x14:conditionalFormatting xmlns:xm="http://schemas.microsoft.com/office/excel/2006/main">
          <x14:cfRule type="expression" priority="16" id="{2AE9E148-7443-41FB-9593-C46977F9409F}">
            <xm:f>Funding!$K$72=0</xm:f>
            <x14:dxf>
              <fill>
                <patternFill patternType="darkUp">
                  <fgColor theme="0" tint="-0.24994659260841701"/>
                </patternFill>
              </fill>
            </x14:dxf>
          </x14:cfRule>
          <xm:sqref>A104:A105</xm:sqref>
        </x14:conditionalFormatting>
        <x14:conditionalFormatting xmlns:xm="http://schemas.microsoft.com/office/excel/2006/main">
          <x14:cfRule type="expression" priority="15" id="{0421B522-1729-4075-B050-8F896731FDAF}">
            <xm:f>Funding!$K$93=0</xm:f>
            <x14:dxf>
              <fill>
                <patternFill patternType="darkUp">
                  <fgColor theme="0" tint="-0.24994659260841701"/>
                </patternFill>
              </fill>
            </x14:dxf>
          </x14:cfRule>
          <xm:sqref>A106:A109</xm:sqref>
        </x14:conditionalFormatting>
        <x14:conditionalFormatting xmlns:xm="http://schemas.microsoft.com/office/excel/2006/main">
          <x14:cfRule type="expression" priority="974" id="{E20FBB53-0291-4F9D-8764-D03093009955}">
            <xm:f>Funding!$N26=0</xm:f>
            <x14:dxf>
              <fill>
                <patternFill patternType="darkUp">
                  <fgColor theme="0" tint="-0.24994659260841701"/>
                </patternFill>
              </fill>
            </x14:dxf>
          </x14:cfRule>
          <xm:sqref>D90:J93</xm:sqref>
        </x14:conditionalFormatting>
        <x14:conditionalFormatting xmlns:xm="http://schemas.microsoft.com/office/excel/2006/main">
          <x14:cfRule type="expression" priority="1037" id="{7781B724-836D-492A-BCF1-9B0E5C8C0C8E}">
            <xm:f>Data1!$E$514="Yes"</xm:f>
            <x14:dxf>
              <font>
                <color theme="0"/>
              </font>
              <fill>
                <patternFill>
                  <bgColor theme="0"/>
                </patternFill>
              </fill>
              <border>
                <left/>
                <right/>
                <top/>
                <bottom/>
                <vertical/>
                <horizontal/>
              </border>
            </x14:dxf>
          </x14:cfRule>
          <xm:sqref>L229:N230 H218:H228 M218:M228 K218:K228</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Z166"/>
  <sheetViews>
    <sheetView showGridLines="0" tabSelected="1" zoomScaleNormal="100" zoomScaleSheetLayoutView="100" workbookViewId="0">
      <selection activeCell="F28" sqref="F28:H28"/>
    </sheetView>
  </sheetViews>
  <sheetFormatPr defaultColWidth="9.109375" defaultRowHeight="14.4"/>
  <cols>
    <col min="1" max="1" width="3" style="14" customWidth="1"/>
    <col min="2" max="3" width="3.5546875" style="14" customWidth="1"/>
    <col min="4" max="4" width="4.44140625" style="14" customWidth="1"/>
    <col min="5" max="5" width="18.88671875" style="14" customWidth="1"/>
    <col min="6" max="6" width="33.5546875" style="14" customWidth="1"/>
    <col min="7" max="7" width="24" style="14" customWidth="1"/>
    <col min="8" max="8" width="20.5546875" style="14" customWidth="1"/>
    <col min="9" max="9" width="4.77734375" style="1651" customWidth="1"/>
    <col min="10" max="10" width="4.77734375" style="595" customWidth="1"/>
    <col min="11" max="12" width="3.5546875" style="16" customWidth="1"/>
    <col min="13" max="13" width="31.5546875" style="16" customWidth="1"/>
    <col min="14" max="16384" width="9.109375" style="14"/>
  </cols>
  <sheetData>
    <row r="1" spans="1:26" ht="14.4" customHeight="1">
      <c r="A1" s="1740" t="s">
        <v>207</v>
      </c>
      <c r="B1" s="1740"/>
      <c r="C1" s="1740"/>
      <c r="D1" s="1740"/>
      <c r="E1" s="1740"/>
      <c r="F1" s="1740"/>
      <c r="G1" s="1740"/>
      <c r="H1" s="1740"/>
      <c r="I1" s="1659"/>
      <c r="K1" s="380"/>
      <c r="L1" s="380"/>
    </row>
    <row r="2" spans="1:26">
      <c r="A2" s="1740"/>
      <c r="B2" s="1740"/>
      <c r="C2" s="1740"/>
      <c r="D2" s="1740"/>
      <c r="E2" s="1740"/>
      <c r="F2" s="1740"/>
      <c r="G2" s="1740"/>
      <c r="H2" s="1740"/>
      <c r="I2" s="1659"/>
      <c r="K2" s="380"/>
      <c r="L2" s="380"/>
    </row>
    <row r="3" spans="1:26" ht="14.4" customHeight="1" thickBot="1">
      <c r="I3" s="1659"/>
      <c r="K3" s="380"/>
      <c r="L3" s="380"/>
    </row>
    <row r="4" spans="1:26" ht="35.85" customHeight="1" thickBot="1">
      <c r="A4" s="1714" t="s">
        <v>208</v>
      </c>
      <c r="B4" s="1715"/>
      <c r="C4" s="1715"/>
      <c r="D4" s="1715"/>
      <c r="E4" s="1715"/>
      <c r="F4" s="1715"/>
      <c r="G4" s="1715"/>
      <c r="H4" s="1716"/>
      <c r="I4" s="1659"/>
      <c r="J4" s="378"/>
      <c r="K4" s="381"/>
      <c r="L4" s="381"/>
      <c r="M4" s="75"/>
    </row>
    <row r="5" spans="1:26" ht="14.4" customHeight="1">
      <c r="A5" s="151"/>
      <c r="B5" s="151"/>
      <c r="C5" s="151"/>
      <c r="D5" s="151"/>
      <c r="E5" s="15"/>
      <c r="F5" s="15"/>
      <c r="G5" s="15"/>
      <c r="H5" s="16"/>
      <c r="I5" s="1659"/>
      <c r="K5" s="380"/>
      <c r="L5" s="380"/>
    </row>
    <row r="6" spans="1:26" ht="70.2" customHeight="1">
      <c r="A6" s="1848" t="s">
        <v>209</v>
      </c>
      <c r="B6" s="1848"/>
      <c r="C6" s="1848"/>
      <c r="D6" s="1848"/>
      <c r="E6" s="1848"/>
      <c r="F6" s="1848"/>
      <c r="G6" s="1848"/>
      <c r="H6" s="1848"/>
      <c r="I6" s="1659"/>
      <c r="J6" s="594"/>
      <c r="K6" s="382"/>
      <c r="L6" s="382"/>
      <c r="M6" s="149"/>
    </row>
    <row r="7" spans="1:26" ht="14.4" customHeight="1" thickBot="1">
      <c r="A7" s="16"/>
      <c r="B7" s="16"/>
      <c r="C7" s="16"/>
      <c r="D7" s="16"/>
      <c r="E7" s="16"/>
      <c r="F7" s="16"/>
      <c r="G7" s="16"/>
      <c r="H7" s="16"/>
      <c r="I7" s="380"/>
      <c r="K7" s="1646"/>
      <c r="L7" s="384"/>
    </row>
    <row r="8" spans="1:26" ht="35.85" customHeight="1" thickBot="1">
      <c r="A8" s="1714" t="s">
        <v>210</v>
      </c>
      <c r="B8" s="1715"/>
      <c r="C8" s="1715"/>
      <c r="D8" s="1715"/>
      <c r="E8" s="1715"/>
      <c r="F8" s="1715"/>
      <c r="G8" s="1715"/>
      <c r="H8" s="1716"/>
      <c r="I8" s="380"/>
      <c r="J8" s="15"/>
      <c r="K8" s="1823" t="str">
        <f>"There are "&amp;TEXT(COUNTIF($K$10:$K$161,"=1"),"0")&amp;" required input fields and "&amp;TEXT(COUNTIF($K$10:$K$161,"=2")+IF($K$107&lt;&gt;0,1,0)+IF($K$114&lt;&gt;0,1,0)+IF($K$142&lt;&gt;0,1,0)+IF($K$149&lt;&gt;0,1,0)+IF($K$153&lt;&gt;0,1,0)+IF($K$160&lt;&gt;0,1,0),"0")&amp;" optional input fields on this tab."&amp;CHAR(10)&amp;"There "&amp;IF(COUNTIFS($K$10:$K$161,"=1",$L$10:$L$161,"=1")=1,"is 1 required input field with an entry","are "&amp;TEXT(COUNTIFS($K$10:$K$161,"=1",$L$10:$L$161,"=1"),"0")&amp;" required input fields")&amp;" and "&amp;TEXT(COUNTIFS($K$10:$K$161,"=2",$L$10:$L$161,"=2")+IF(AND($K$107&lt;&gt;0,$H$107&lt;&gt;""),1,0)+IF(AND($K$114&lt;&gt;0,$H$114&lt;&gt;""),1,0)+IF(AND($K$142&lt;&gt;0,$H$142&lt;&gt;""),1,0)+IF(AND($K$149&lt;&gt;0,$H$149&lt;&gt;""),1,0)+IF(AND($K$153&lt;&gt;0,$H$153&lt;&gt;""),1,0)+IF(AND($K$160&lt;&gt;0,$H$160&lt;&gt;""),1,0),"0")&amp;" optional input field"&amp;IF(COUNTIFS($K$10:$K$161,"=2",$L$10:$L$161,"=2")+IF(AND($K$107&lt;&gt;0,$H$107&lt;&gt;""),1,0)+IF(AND($K$114&lt;&gt;0,$H$114&lt;&gt;""),1,0)+IF(AND($K$142&lt;&gt;0,$H$142&lt;&gt;""),1,0)+IF(AND($K$149&lt;&gt;0,$H$149&lt;&gt;""),1,0)+IF(AND($K$153&lt;&gt;0,$H$153&lt;&gt;""),1,0)+IF(AND($K$160&lt;&gt;0,$H$160&lt;&gt;""),1,0)=1," with an entry","s with entries")&amp;" on this tab."&amp;CHAR(10)&amp;"There "&amp;IF(Data1!G500=1,"is ","are ")&amp;TEXT(Data1!G500,"0")&amp;" required input field"&amp;IF(Data1!G500=1," that need an entry","s that need entries")&amp;" and "&amp;TEXT(Data1!H500,"0")&amp;" optional input field"&amp;IF(Data1!H500=1," that may or may not need an entry","s that may or may not need entries")&amp;" on this tab."</f>
        <v>There are 11 required input fields and 21 optional input fields on this tab.
There are 2 required input fields and 0 optional input fields with entries on this tab.
There are 9 required input fields that need entries and 21 optional input fields that may or may not need entries on this tab.</v>
      </c>
      <c r="L8" s="1823"/>
      <c r="M8" s="1823"/>
      <c r="N8" s="1823"/>
      <c r="O8" s="1823"/>
      <c r="P8" s="1823"/>
      <c r="Q8" s="1823"/>
      <c r="R8" s="1823"/>
      <c r="S8" s="1823"/>
      <c r="T8" s="1823"/>
      <c r="U8" s="1823"/>
      <c r="V8" s="583"/>
      <c r="W8" s="583"/>
      <c r="X8" s="583"/>
      <c r="Y8" s="583"/>
      <c r="Z8" s="583"/>
    </row>
    <row r="9" spans="1:26">
      <c r="A9" s="17"/>
      <c r="B9" s="17"/>
      <c r="C9" s="17"/>
      <c r="D9" s="17"/>
      <c r="E9" s="15"/>
      <c r="F9" s="15"/>
      <c r="G9" s="15"/>
      <c r="H9" s="16"/>
      <c r="I9" s="380"/>
      <c r="K9" s="1823"/>
      <c r="L9" s="1823"/>
      <c r="M9" s="1823"/>
      <c r="N9" s="1823"/>
      <c r="O9" s="1823"/>
      <c r="P9" s="1823"/>
      <c r="Q9" s="1823"/>
      <c r="R9" s="1823"/>
      <c r="S9" s="1823"/>
      <c r="T9" s="1823"/>
      <c r="U9" s="1823"/>
      <c r="V9" s="583"/>
      <c r="W9" s="583"/>
      <c r="X9" s="583"/>
      <c r="Y9" s="583"/>
      <c r="Z9" s="583"/>
    </row>
    <row r="10" spans="1:26" ht="17.399999999999999" customHeight="1">
      <c r="A10" s="1848" t="s">
        <v>211</v>
      </c>
      <c r="B10" s="1848"/>
      <c r="C10" s="1848"/>
      <c r="D10" s="1848"/>
      <c r="E10" s="1848"/>
      <c r="F10" s="1597" t="s">
        <v>14</v>
      </c>
      <c r="G10" s="1382"/>
      <c r="H10" s="1382"/>
      <c r="I10" s="380"/>
      <c r="K10" s="588">
        <v>1</v>
      </c>
      <c r="L10" s="384">
        <f>IF(AND(K10&lt;&gt;0,AND(F10&lt;&gt;"&lt;select one&gt;",F10&lt;&gt;"")),K10,0)</f>
        <v>1</v>
      </c>
      <c r="M10" s="366" t="str">
        <f>CHOOSE(K10+1,"Not to be included in this RFA","A REQUIRED input field for this RFA","An OPTIONAL input field for this RFA")</f>
        <v>A REQUIRED input field for this RFA</v>
      </c>
    </row>
    <row r="11" spans="1:26">
      <c r="A11" s="1382"/>
      <c r="B11" s="1382"/>
      <c r="C11" s="1382"/>
      <c r="D11" s="1382"/>
      <c r="E11" s="1382"/>
      <c r="F11" s="1380"/>
      <c r="G11" s="1382"/>
      <c r="H11" s="1382"/>
      <c r="J11" s="1372"/>
      <c r="K11" s="1391"/>
      <c r="L11" s="1369"/>
      <c r="M11" s="1367"/>
    </row>
    <row r="12" spans="1:26" ht="14.4" customHeight="1">
      <c r="A12" s="166" t="s">
        <v>213</v>
      </c>
      <c r="B12" s="1830" t="s">
        <v>1943</v>
      </c>
      <c r="C12" s="1830"/>
      <c r="D12" s="1830"/>
      <c r="E12" s="1830"/>
      <c r="F12" s="1830"/>
      <c r="G12" s="1830"/>
      <c r="H12" s="1830"/>
      <c r="K12" s="384"/>
      <c r="L12" s="384"/>
      <c r="M12" s="576">
        <v>1</v>
      </c>
    </row>
    <row r="13" spans="1:26" ht="10.35" customHeight="1">
      <c r="A13" s="1372"/>
      <c r="B13" s="1372"/>
      <c r="C13" s="1372"/>
      <c r="D13" s="1372"/>
      <c r="E13" s="1372"/>
      <c r="F13" s="1372"/>
      <c r="G13" s="1372"/>
      <c r="H13" s="15"/>
      <c r="J13" s="1372"/>
      <c r="K13" s="1369"/>
      <c r="L13" s="1369"/>
      <c r="M13" s="1367"/>
    </row>
    <row r="14" spans="1:26" ht="43.95" customHeight="1">
      <c r="A14" s="1372"/>
      <c r="B14" s="1379"/>
      <c r="C14" s="1381" t="s">
        <v>215</v>
      </c>
      <c r="D14" s="1829" t="s">
        <v>1941</v>
      </c>
      <c r="E14" s="1829"/>
      <c r="F14" s="1829"/>
      <c r="G14" s="1829"/>
      <c r="H14" s="1829"/>
      <c r="J14" s="1372"/>
      <c r="K14" s="1421">
        <f>IF(M$12=0,0,2)</f>
        <v>2</v>
      </c>
      <c r="L14" s="1391">
        <f>IF(AND(K14&lt;&gt;0,Data1!B25=TRUE),K14,0)</f>
        <v>0</v>
      </c>
      <c r="M14" s="1389" t="str">
        <f>CHOOSE(K14+1,"Not to be included in this RFA","A REQUIRED input field for this RFA","An OPTIONAL input field for this RFA")</f>
        <v>An OPTIONAL input field for this RFA</v>
      </c>
    </row>
    <row r="15" spans="1:26" ht="43.95" customHeight="1">
      <c r="A15" s="1372"/>
      <c r="B15" s="1379"/>
      <c r="C15" s="1381" t="s">
        <v>217</v>
      </c>
      <c r="D15" s="1829" t="s">
        <v>1942</v>
      </c>
      <c r="E15" s="1829"/>
      <c r="F15" s="1829"/>
      <c r="G15" s="1829"/>
      <c r="H15" s="1829"/>
      <c r="J15" s="1372"/>
      <c r="K15" s="1421">
        <f>IF(M$12=0,0,2)</f>
        <v>2</v>
      </c>
      <c r="L15" s="1391">
        <f>IF(AND(K15&lt;&gt;0,Data1!B26=TRUE),K15,0)</f>
        <v>0</v>
      </c>
      <c r="M15" s="1389" t="str">
        <f>CHOOSE(K15+1,"Not to be included in this RFA","A REQUIRED input field for this RFA","An OPTIONAL input field for this RFA")</f>
        <v>An OPTIONAL input field for this RFA</v>
      </c>
    </row>
    <row r="16" spans="1:26" ht="14.4" customHeight="1">
      <c r="A16" s="1372"/>
      <c r="B16" s="1372"/>
      <c r="C16" s="1372"/>
      <c r="D16" s="1372"/>
      <c r="E16" s="1372"/>
      <c r="F16" s="1372"/>
      <c r="G16" s="1372"/>
      <c r="H16" s="15"/>
      <c r="J16" s="1372"/>
      <c r="K16" s="1369"/>
      <c r="L16" s="1369"/>
      <c r="M16" s="1367"/>
    </row>
    <row r="17" spans="1:13" ht="28.95" customHeight="1">
      <c r="A17" s="166" t="s">
        <v>222</v>
      </c>
      <c r="B17" s="1830" t="s">
        <v>1944</v>
      </c>
      <c r="C17" s="1830"/>
      <c r="D17" s="1830"/>
      <c r="E17" s="1830"/>
      <c r="F17" s="1830"/>
      <c r="G17" s="1830"/>
      <c r="H17" s="1830"/>
      <c r="J17" s="1372"/>
      <c r="K17" s="1369"/>
      <c r="L17" s="1369"/>
      <c r="M17" s="576">
        <v>1</v>
      </c>
    </row>
    <row r="18" spans="1:13" ht="10.35" customHeight="1">
      <c r="A18" s="1372"/>
      <c r="B18" s="1372"/>
      <c r="C18" s="1372"/>
      <c r="D18" s="1372"/>
      <c r="E18" s="1372"/>
      <c r="F18" s="1372"/>
      <c r="G18" s="1372"/>
      <c r="H18" s="15"/>
      <c r="J18" s="1372"/>
      <c r="K18" s="1369"/>
      <c r="L18" s="1369"/>
      <c r="M18" s="1367"/>
    </row>
    <row r="19" spans="1:13" ht="30" customHeight="1">
      <c r="A19" s="1372"/>
      <c r="B19" s="1379"/>
      <c r="C19" s="1381" t="s">
        <v>215</v>
      </c>
      <c r="D19" s="1829" t="s">
        <v>1947</v>
      </c>
      <c r="E19" s="1829"/>
      <c r="F19" s="1829"/>
      <c r="G19" s="1829"/>
      <c r="H19" s="1829"/>
      <c r="J19" s="1372"/>
      <c r="K19" s="1421">
        <f>IF(M$17=0,0,2)</f>
        <v>2</v>
      </c>
      <c r="L19" s="1391">
        <f>IF(AND(K19&lt;&gt;0,Data1!B28=TRUE),K19,0)</f>
        <v>0</v>
      </c>
      <c r="M19" s="1389" t="str">
        <f>CHOOSE(K19+1,"Not to be included in this RFA","A REQUIRED input field for this RFA","An OPTIONAL input field for this RFA")</f>
        <v>An OPTIONAL input field for this RFA</v>
      </c>
    </row>
    <row r="20" spans="1:13" ht="30" customHeight="1">
      <c r="A20" s="1372"/>
      <c r="B20" s="1379"/>
      <c r="C20" s="1381" t="s">
        <v>217</v>
      </c>
      <c r="D20" s="1829" t="s">
        <v>1948</v>
      </c>
      <c r="E20" s="1829"/>
      <c r="F20" s="1829"/>
      <c r="G20" s="1829"/>
      <c r="H20" s="1829"/>
      <c r="J20" s="1372"/>
      <c r="K20" s="1421">
        <f>IF(M$17=0,0,2)</f>
        <v>2</v>
      </c>
      <c r="L20" s="1391">
        <f>IF(AND(K20&lt;&gt;0,Data1!B29=TRUE),K20,0)</f>
        <v>0</v>
      </c>
      <c r="M20" s="1389" t="str">
        <f>CHOOSE(K20+1,"Not to be included in this RFA","A REQUIRED input field for this RFA","An OPTIONAL input field for this RFA")</f>
        <v>An OPTIONAL input field for this RFA</v>
      </c>
    </row>
    <row r="21" spans="1:13" ht="43.95" customHeight="1">
      <c r="A21" s="1372"/>
      <c r="B21" s="1379"/>
      <c r="C21" s="1381" t="s">
        <v>219</v>
      </c>
      <c r="D21" s="1829" t="s">
        <v>1949</v>
      </c>
      <c r="E21" s="1829"/>
      <c r="F21" s="1829"/>
      <c r="G21" s="1829"/>
      <c r="H21" s="1829"/>
      <c r="J21" s="1372"/>
      <c r="K21" s="1421">
        <f>IF(M$17=0,0,2)</f>
        <v>2</v>
      </c>
      <c r="L21" s="1391">
        <f>IF(AND(K21&lt;&gt;0,Data1!B30=TRUE),K21,0)</f>
        <v>0</v>
      </c>
      <c r="M21" s="1389" t="str">
        <f>CHOOSE(K21+1,"Not to be included in this RFA","A REQUIRED input field for this RFA","An OPTIONAL input field for this RFA")</f>
        <v>An OPTIONAL input field for this RFA</v>
      </c>
    </row>
    <row r="22" spans="1:13" ht="17.399999999999999" customHeight="1">
      <c r="A22" s="1372"/>
      <c r="B22" s="1379"/>
      <c r="C22" s="1381" t="s">
        <v>1945</v>
      </c>
      <c r="D22" s="1829" t="s">
        <v>1950</v>
      </c>
      <c r="E22" s="1829"/>
      <c r="F22" s="1829"/>
      <c r="G22" s="1829"/>
      <c r="H22" s="1829"/>
      <c r="J22" s="1372"/>
      <c r="K22" s="1421">
        <f>IF(M$17=0,0,2)</f>
        <v>2</v>
      </c>
      <c r="L22" s="1391">
        <f>IF(AND(K22&lt;&gt;0,Data1!B31=TRUE),K22,0)</f>
        <v>0</v>
      </c>
      <c r="M22" s="1389" t="str">
        <f>CHOOSE(K22+1,"Not to be included in this RFA","A REQUIRED input field for this RFA","An OPTIONAL input field for this RFA")</f>
        <v>An OPTIONAL input field for this RFA</v>
      </c>
    </row>
    <row r="23" spans="1:13" ht="17.399999999999999" customHeight="1">
      <c r="A23" s="1372"/>
      <c r="B23" s="1379"/>
      <c r="C23" s="1381" t="s">
        <v>1946</v>
      </c>
      <c r="D23" s="1829" t="s">
        <v>1951</v>
      </c>
      <c r="E23" s="1829"/>
      <c r="F23" s="1829"/>
      <c r="G23" s="1829"/>
      <c r="H23" s="1829"/>
      <c r="J23" s="1372"/>
      <c r="K23" s="1421">
        <f>IF(M$17=0,0,2)</f>
        <v>2</v>
      </c>
      <c r="L23" s="1391">
        <f>IF(AND(K23&lt;&gt;0,Data1!B32=TRUE),K23,0)</f>
        <v>0</v>
      </c>
      <c r="M23" s="1389" t="str">
        <f>CHOOSE(K23+1,"Not to be included in this RFA","A REQUIRED input field for this RFA","An OPTIONAL input field for this RFA")</f>
        <v>An OPTIONAL input field for this RFA</v>
      </c>
    </row>
    <row r="24" spans="1:13" ht="14.4" customHeight="1" thickBot="1">
      <c r="A24" s="1372"/>
      <c r="B24" s="1372"/>
      <c r="C24" s="1372"/>
      <c r="D24" s="1372"/>
      <c r="E24" s="1372"/>
      <c r="F24" s="1372"/>
      <c r="G24" s="1372"/>
      <c r="H24" s="15"/>
      <c r="J24" s="1372"/>
      <c r="K24" s="1369"/>
      <c r="L24" s="1369"/>
      <c r="M24" s="1367"/>
    </row>
    <row r="25" spans="1:13" ht="35.85" customHeight="1" thickBot="1">
      <c r="A25" s="1714" t="s">
        <v>212</v>
      </c>
      <c r="B25" s="1715"/>
      <c r="C25" s="1715"/>
      <c r="D25" s="1715"/>
      <c r="E25" s="1715"/>
      <c r="F25" s="1715"/>
      <c r="G25" s="1715"/>
      <c r="H25" s="1716"/>
      <c r="I25" s="1650"/>
      <c r="J25" s="598"/>
      <c r="K25" s="384"/>
      <c r="L25" s="383"/>
      <c r="M25" s="15"/>
    </row>
    <row r="26" spans="1:13" ht="14.4" customHeight="1">
      <c r="A26" s="75"/>
      <c r="B26" s="75"/>
      <c r="C26" s="75"/>
      <c r="D26" s="75"/>
      <c r="E26" s="15"/>
      <c r="F26" s="15"/>
      <c r="G26" s="15"/>
      <c r="H26" s="15"/>
      <c r="I26" s="15"/>
      <c r="J26" s="15"/>
      <c r="K26" s="384"/>
      <c r="L26" s="384"/>
      <c r="M26" s="15"/>
    </row>
    <row r="27" spans="1:13" ht="14.4" customHeight="1">
      <c r="A27" s="166" t="s">
        <v>213</v>
      </c>
      <c r="B27" s="1830" t="s">
        <v>214</v>
      </c>
      <c r="C27" s="1830"/>
      <c r="D27" s="1830"/>
      <c r="E27" s="1830"/>
      <c r="F27" s="1830"/>
      <c r="G27" s="1830"/>
      <c r="H27" s="1830"/>
      <c r="I27" s="15"/>
      <c r="J27" s="15"/>
      <c r="K27" s="384"/>
      <c r="L27" s="384"/>
      <c r="M27" s="15"/>
    </row>
    <row r="28" spans="1:13" ht="17.399999999999999" customHeight="1">
      <c r="A28" s="16"/>
      <c r="B28" s="1418">
        <f>IF(K28=0,"",1)</f>
        <v>1</v>
      </c>
      <c r="C28" s="135" t="s">
        <v>224</v>
      </c>
      <c r="D28" s="461" t="s">
        <v>216</v>
      </c>
      <c r="E28" s="461"/>
      <c r="F28" s="1836"/>
      <c r="G28" s="1836"/>
      <c r="H28" s="1836"/>
      <c r="K28" s="588">
        <v>1</v>
      </c>
      <c r="L28" s="384">
        <f>IF(AND(K28&lt;&gt;0,F28&lt;&gt;""),K28,0)</f>
        <v>0</v>
      </c>
      <c r="M28" s="375" t="str">
        <f>CHOOSE(K28+1,"Not to be included in this RFA","A REQUIRED input field for this RFA","An OPTIONAL input field for this RFA")</f>
        <v>A REQUIRED input field for this RFA</v>
      </c>
    </row>
    <row r="29" spans="1:13" s="19" customFormat="1" ht="14.4" customHeight="1">
      <c r="A29" s="11"/>
      <c r="B29" s="18"/>
      <c r="C29" s="1613" t="str">
        <f>IF(F28="","(The Name of the Applicant must have an entry to turn on some of the validation formulas in Exhibit A)","")</f>
        <v>(The Name of the Applicant must have an entry to turn on some of the validation formulas in Exhibit A)</v>
      </c>
      <c r="D29" s="18"/>
      <c r="E29" s="11"/>
      <c r="F29" s="11"/>
      <c r="G29" s="11"/>
      <c r="H29" s="142"/>
      <c r="I29" s="11"/>
      <c r="J29" s="11"/>
      <c r="K29" s="383"/>
      <c r="L29" s="383"/>
      <c r="M29" s="11"/>
    </row>
    <row r="30" spans="1:13" s="19" customFormat="1" ht="17.399999999999999" hidden="1" customHeight="1">
      <c r="A30" s="11"/>
      <c r="B30" s="18"/>
      <c r="C30" s="135" t="s">
        <v>235</v>
      </c>
      <c r="D30" s="18" t="s">
        <v>979</v>
      </c>
      <c r="E30" s="11"/>
      <c r="F30" s="11"/>
      <c r="G30" s="493" t="s">
        <v>2</v>
      </c>
      <c r="H30" s="25"/>
      <c r="I30" s="11"/>
      <c r="J30" s="11"/>
      <c r="K30" s="588">
        <v>0</v>
      </c>
      <c r="L30" s="462">
        <f>IF(AND(K30&lt;&gt;0,AND(G30&lt;&gt;"&lt;select one&gt;",G30&lt;&gt;"")),K30,0)</f>
        <v>0</v>
      </c>
      <c r="M30" s="463" t="str">
        <f>CHOOSE(K30+1,"Not to be included in this RFA","A REQUIRED input field for this RFA","An OPTIONAL input field for this RFA")</f>
        <v>Not to be included in this RFA</v>
      </c>
    </row>
    <row r="31" spans="1:13" s="19" customFormat="1" ht="10.35" hidden="1" customHeight="1">
      <c r="A31" s="11"/>
      <c r="B31" s="18"/>
      <c r="C31" s="18"/>
      <c r="D31" s="18"/>
      <c r="E31" s="11"/>
      <c r="F31" s="11"/>
      <c r="G31" s="11"/>
      <c r="H31" s="464"/>
      <c r="I31" s="11"/>
      <c r="J31" s="11"/>
      <c r="K31" s="383"/>
      <c r="L31" s="383"/>
      <c r="M31" s="11"/>
    </row>
    <row r="32" spans="1:13" ht="30" customHeight="1">
      <c r="A32" s="75"/>
      <c r="B32" s="1418">
        <f>IF($K$36=0,"",MAX(B$28:B31)+1)</f>
        <v>2</v>
      </c>
      <c r="C32" s="1826" t="s">
        <v>218</v>
      </c>
      <c r="D32" s="1826"/>
      <c r="E32" s="1826"/>
      <c r="F32" s="1826"/>
      <c r="G32" s="1826"/>
      <c r="H32" s="1826"/>
      <c r="I32" s="1649"/>
      <c r="J32" s="597"/>
      <c r="K32" s="384"/>
      <c r="L32" s="384"/>
      <c r="M32" s="142"/>
    </row>
    <row r="33" spans="1:13" ht="10.35" customHeight="1">
      <c r="A33" s="75"/>
      <c r="B33" s="20"/>
      <c r="C33" s="20"/>
      <c r="D33" s="20"/>
      <c r="E33" s="142"/>
      <c r="F33" s="142"/>
      <c r="G33" s="142"/>
      <c r="H33" s="15"/>
      <c r="I33" s="1649"/>
      <c r="J33" s="597"/>
      <c r="K33" s="384"/>
      <c r="L33" s="384"/>
      <c r="M33" s="142"/>
    </row>
    <row r="34" spans="1:13" ht="17.399999999999999" customHeight="1">
      <c r="A34" s="75"/>
      <c r="B34" s="1418">
        <f>IF($K$36=0,"",MAX(B$28:B33)+1)</f>
        <v>3</v>
      </c>
      <c r="C34" s="1826" t="s">
        <v>220</v>
      </c>
      <c r="D34" s="1826"/>
      <c r="E34" s="1826"/>
      <c r="F34" s="1826"/>
      <c r="G34" s="1826"/>
      <c r="H34" s="1826"/>
      <c r="I34" s="15"/>
      <c r="J34" s="15"/>
      <c r="K34" s="384"/>
      <c r="L34" s="384"/>
      <c r="M34" s="15"/>
    </row>
    <row r="35" spans="1:13" ht="30" customHeight="1">
      <c r="A35" s="13"/>
      <c r="B35" s="13"/>
      <c r="C35" s="13"/>
      <c r="D35" s="1833" t="s">
        <v>221</v>
      </c>
      <c r="E35" s="1833"/>
      <c r="F35" s="1833"/>
      <c r="G35" s="1833"/>
      <c r="H35" s="1833"/>
      <c r="I35" s="21"/>
      <c r="J35" s="21"/>
      <c r="K35" s="384"/>
      <c r="L35" s="384"/>
      <c r="M35" s="13"/>
    </row>
    <row r="36" spans="1:13" ht="17.399999999999999" customHeight="1">
      <c r="A36" s="13"/>
      <c r="B36" s="13"/>
      <c r="C36" s="13"/>
      <c r="D36" s="1835" t="s">
        <v>196</v>
      </c>
      <c r="E36" s="1835"/>
      <c r="F36" s="1382"/>
      <c r="G36" s="1382"/>
      <c r="H36" s="1382"/>
      <c r="I36" s="21"/>
      <c r="J36" s="21"/>
      <c r="K36" s="588">
        <v>1</v>
      </c>
      <c r="L36" s="384">
        <f>IF(AND(K36&lt;&gt;0,AND(D36&lt;&gt;"&lt;select one&gt;",D36&lt;&gt;"")),K36,0)</f>
        <v>1</v>
      </c>
      <c r="M36" s="375" t="str">
        <f>CHOOSE(K36+1,"Not to be included in this RFA","A REQUIRED input field for this RFA","An OPTIONAL input field for this RFA")</f>
        <v>A REQUIRED input field for this RFA</v>
      </c>
    </row>
    <row r="37" spans="1:13" ht="10.35" customHeight="1">
      <c r="A37" s="13"/>
      <c r="B37" s="1382"/>
      <c r="C37" s="1382"/>
      <c r="D37" s="1380"/>
      <c r="E37" s="1380"/>
      <c r="F37" s="1380"/>
      <c r="G37" s="1380"/>
      <c r="H37" s="1380"/>
      <c r="I37" s="21"/>
      <c r="J37" s="21"/>
      <c r="K37" s="1391"/>
      <c r="L37" s="1391"/>
      <c r="M37" s="1389"/>
    </row>
    <row r="38" spans="1:13" ht="17.399999999999999" customHeight="1">
      <c r="A38" s="13"/>
      <c r="B38" s="1382"/>
      <c r="C38" s="1422" t="s">
        <v>1980</v>
      </c>
      <c r="D38" s="1380"/>
      <c r="E38" s="1380"/>
      <c r="F38" s="1380"/>
      <c r="G38" s="1380"/>
      <c r="H38" s="1380"/>
      <c r="I38" s="21"/>
      <c r="J38" s="21"/>
      <c r="K38" s="1391"/>
      <c r="L38" s="1391"/>
      <c r="M38" s="1389"/>
    </row>
    <row r="39" spans="1:13" ht="17.399999999999999" customHeight="1">
      <c r="A39" s="13"/>
      <c r="B39" s="1382"/>
      <c r="C39" s="135" t="s">
        <v>224</v>
      </c>
      <c r="D39" s="14" t="s">
        <v>1981</v>
      </c>
      <c r="E39" s="1380"/>
      <c r="F39" s="1380"/>
      <c r="G39" s="1380"/>
      <c r="H39" s="1380"/>
      <c r="I39" s="21"/>
      <c r="J39" s="21"/>
      <c r="K39" s="1391"/>
      <c r="L39" s="1391"/>
      <c r="M39" s="1389"/>
    </row>
    <row r="40" spans="1:13" ht="17.399999999999999" customHeight="1">
      <c r="A40" s="13"/>
      <c r="B40" s="1382"/>
      <c r="C40" s="135"/>
      <c r="D40" s="1423" t="s">
        <v>1957</v>
      </c>
      <c r="E40" s="1380"/>
      <c r="F40" s="1380"/>
      <c r="G40" s="1380"/>
      <c r="H40" s="1380"/>
      <c r="I40" s="21"/>
      <c r="J40" s="21"/>
      <c r="K40" s="1391"/>
      <c r="L40" s="1391"/>
      <c r="M40" s="1389"/>
    </row>
    <row r="41" spans="1:13" ht="17.399999999999999" customHeight="1">
      <c r="A41" s="13"/>
      <c r="B41" s="1382"/>
      <c r="C41" s="1382"/>
      <c r="D41" s="1417" t="s">
        <v>1955</v>
      </c>
      <c r="E41" s="1380"/>
      <c r="F41" s="1380"/>
      <c r="G41" s="1380"/>
      <c r="H41" s="1380"/>
      <c r="I41" s="21"/>
      <c r="J41" s="21"/>
      <c r="K41" s="1391"/>
      <c r="L41" s="1391"/>
      <c r="M41" s="1389"/>
    </row>
    <row r="42" spans="1:13" ht="17.399999999999999" customHeight="1">
      <c r="A42" s="13"/>
      <c r="B42" s="1382"/>
      <c r="C42" s="1382"/>
      <c r="D42" s="1417" t="s">
        <v>1956</v>
      </c>
      <c r="E42" s="1380"/>
      <c r="F42" s="1380"/>
      <c r="G42" s="1380"/>
      <c r="H42" s="1380"/>
      <c r="I42" s="21"/>
      <c r="J42" s="21"/>
      <c r="K42" s="1391"/>
      <c r="L42" s="1391"/>
      <c r="M42" s="1389"/>
    </row>
    <row r="43" spans="1:13" ht="10.199999999999999" customHeight="1">
      <c r="A43" s="13"/>
      <c r="B43" s="1382"/>
      <c r="C43" s="1382"/>
      <c r="D43" s="1417"/>
      <c r="E43" s="1380"/>
      <c r="F43" s="1380"/>
      <c r="G43" s="1380"/>
      <c r="H43" s="1380"/>
      <c r="I43" s="21"/>
      <c r="J43" s="21"/>
      <c r="K43" s="1391"/>
      <c r="L43" s="1391"/>
      <c r="M43" s="1389"/>
    </row>
    <row r="44" spans="1:13" ht="17.399999999999999" customHeight="1">
      <c r="A44" s="13"/>
      <c r="B44" s="1382"/>
      <c r="C44" s="135" t="s">
        <v>235</v>
      </c>
      <c r="D44" s="1712" t="s">
        <v>1983</v>
      </c>
      <c r="E44" s="1712"/>
      <c r="F44" s="1712"/>
      <c r="G44" s="1712"/>
      <c r="H44" s="1712"/>
      <c r="I44" s="21"/>
      <c r="J44" s="21"/>
      <c r="K44" s="1391"/>
      <c r="L44" s="1391"/>
      <c r="M44" s="1389"/>
    </row>
    <row r="45" spans="1:13" ht="63.6" customHeight="1">
      <c r="A45" s="13"/>
      <c r="B45" s="1382"/>
      <c r="C45" s="1382"/>
      <c r="D45" s="1740" t="s">
        <v>1982</v>
      </c>
      <c r="E45" s="1740"/>
      <c r="F45" s="1740"/>
      <c r="G45" s="1740"/>
      <c r="H45" s="1740"/>
      <c r="I45" s="21"/>
      <c r="J45" s="21"/>
      <c r="K45" s="1391"/>
      <c r="L45" s="1391"/>
      <c r="M45" s="1389"/>
    </row>
    <row r="46" spans="1:13" ht="17.399999999999999" customHeight="1">
      <c r="A46" s="13"/>
      <c r="B46" s="1418">
        <f>IF($M$46=0,"",MAX(B$28:B45)+1)</f>
        <v>4</v>
      </c>
      <c r="C46" s="1516" t="s">
        <v>1958</v>
      </c>
      <c r="D46" s="1423"/>
      <c r="E46" s="1423"/>
      <c r="F46" s="1423"/>
      <c r="G46" s="1380"/>
      <c r="H46" s="1380"/>
      <c r="I46" s="21"/>
      <c r="J46" s="21"/>
      <c r="K46" s="1391"/>
      <c r="L46" s="1391"/>
      <c r="M46" s="576">
        <v>1</v>
      </c>
    </row>
    <row r="47" spans="1:13" ht="63" customHeight="1">
      <c r="A47" s="13"/>
      <c r="B47" s="1382"/>
      <c r="C47" s="1382"/>
      <c r="D47" s="1712" t="s">
        <v>1959</v>
      </c>
      <c r="E47" s="1712"/>
      <c r="F47" s="1712"/>
      <c r="G47" s="1712"/>
      <c r="H47" s="1712"/>
      <c r="I47" s="21"/>
      <c r="J47" s="21"/>
      <c r="K47" s="1391"/>
      <c r="L47" s="1391"/>
      <c r="M47" s="1389"/>
    </row>
    <row r="48" spans="1:13" ht="17.399999999999999" customHeight="1">
      <c r="A48" s="13"/>
      <c r="B48" s="1418">
        <f>IF($M$48=0,"",MAX(B$28:B47)+1)</f>
        <v>5</v>
      </c>
      <c r="C48" s="1395" t="s">
        <v>1960</v>
      </c>
      <c r="D48" s="1380"/>
      <c r="E48" s="1380"/>
      <c r="F48" s="1380"/>
      <c r="G48" s="1380"/>
      <c r="H48" s="1380"/>
      <c r="I48" s="21"/>
      <c r="J48" s="21"/>
      <c r="K48" s="1391"/>
      <c r="L48" s="1391"/>
      <c r="M48" s="576">
        <v>1</v>
      </c>
    </row>
    <row r="49" spans="1:13" ht="30" customHeight="1">
      <c r="A49" s="13"/>
      <c r="B49" s="1382"/>
      <c r="C49" s="1382"/>
      <c r="D49" s="1712" t="s">
        <v>1961</v>
      </c>
      <c r="E49" s="1712"/>
      <c r="F49" s="1712"/>
      <c r="G49" s="1712"/>
      <c r="H49" s="1712"/>
      <c r="I49" s="21"/>
      <c r="J49" s="21"/>
      <c r="K49" s="1391"/>
      <c r="L49" s="1391"/>
      <c r="M49" s="1389"/>
    </row>
    <row r="50" spans="1:13" ht="10.35" customHeight="1">
      <c r="A50" s="13"/>
      <c r="B50" s="13"/>
      <c r="C50" s="13"/>
      <c r="D50" s="13"/>
      <c r="E50" s="13"/>
      <c r="F50" s="13"/>
      <c r="G50" s="13"/>
      <c r="H50" s="13"/>
      <c r="I50" s="13"/>
      <c r="J50" s="13"/>
      <c r="K50" s="384"/>
      <c r="L50" s="384"/>
      <c r="M50" s="13"/>
    </row>
    <row r="51" spans="1:13" ht="14.4" customHeight="1">
      <c r="A51" s="1178" t="str" cm="1">
        <f t="array" ref="A51">IF(SUM($K53:$K$89)=0,"",CHAR(CODE(LOOKUP(2,1/(COUNTIF(A$27:A50,"&gt;"&amp;A$27:A50&amp;"*")=0),A$27:A50))+1))</f>
        <v>b</v>
      </c>
      <c r="B51" s="1830" t="s">
        <v>223</v>
      </c>
      <c r="C51" s="1830"/>
      <c r="D51" s="1830"/>
      <c r="E51" s="1830"/>
      <c r="F51" s="1830"/>
      <c r="G51" s="1830"/>
      <c r="H51" s="1830"/>
      <c r="I51" s="13"/>
      <c r="J51" s="13"/>
      <c r="K51" s="384"/>
      <c r="L51" s="384"/>
      <c r="M51" s="13"/>
    </row>
    <row r="52" spans="1:13" ht="20.25" customHeight="1">
      <c r="A52" s="13"/>
      <c r="B52" s="117" t="s">
        <v>215</v>
      </c>
      <c r="C52" s="1826" t="s">
        <v>1186</v>
      </c>
      <c r="D52" s="1826"/>
      <c r="E52" s="1826"/>
      <c r="F52" s="1826"/>
      <c r="G52" s="1826"/>
      <c r="H52" s="1826"/>
      <c r="I52" s="13"/>
      <c r="J52" s="13"/>
      <c r="K52" s="384"/>
      <c r="L52" s="384"/>
      <c r="M52" s="13"/>
    </row>
    <row r="53" spans="1:13" ht="17.399999999999999" customHeight="1">
      <c r="A53" s="13"/>
      <c r="B53" s="22"/>
      <c r="C53" s="22"/>
      <c r="D53" s="1824"/>
      <c r="E53" s="1824"/>
      <c r="F53" s="1824"/>
      <c r="G53" s="1824"/>
      <c r="H53" s="1824"/>
      <c r="I53" s="13"/>
      <c r="J53" s="13"/>
      <c r="K53" s="588">
        <v>1</v>
      </c>
      <c r="L53" s="384">
        <f>IF(AND(K53&lt;&gt;0,D53&lt;&gt;""),K53,0)</f>
        <v>0</v>
      </c>
      <c r="M53" s="375" t="str">
        <f>CHOOSE(K53+1,"Not to be included in this RFA","A REQUIRED input field for this RFA","An OPTIONAL input field for this RFA")</f>
        <v>A REQUIRED input field for this RFA</v>
      </c>
    </row>
    <row r="54" spans="1:13" ht="17.399999999999999" customHeight="1">
      <c r="A54" s="13"/>
      <c r="B54" s="22"/>
      <c r="C54" s="22"/>
      <c r="D54" s="1825"/>
      <c r="E54" s="1825"/>
      <c r="F54" s="1825"/>
      <c r="G54" s="1825"/>
      <c r="H54" s="1825"/>
      <c r="I54" s="13"/>
      <c r="J54" s="13"/>
      <c r="K54" s="658">
        <v>2</v>
      </c>
      <c r="L54" s="384">
        <f>IF(AND(K54&lt;&gt;0,D54&lt;&gt;""),K54,0)</f>
        <v>0</v>
      </c>
      <c r="M54" s="375" t="str">
        <f>CHOOSE(K54+1,"Not to be included in this RFA","A REQUIRED input field for this RFA","An OPTIONAL input field for this RFA")</f>
        <v>An OPTIONAL input field for this RFA</v>
      </c>
    </row>
    <row r="55" spans="1:13" ht="17.399999999999999" customHeight="1">
      <c r="A55" s="13"/>
      <c r="B55" s="22"/>
      <c r="C55" s="22"/>
      <c r="D55" s="1825"/>
      <c r="E55" s="1825"/>
      <c r="F55" s="1825"/>
      <c r="G55" s="1825"/>
      <c r="H55" s="1825"/>
      <c r="I55" s="13"/>
      <c r="J55" s="13"/>
      <c r="K55" s="658">
        <v>2</v>
      </c>
      <c r="L55" s="384">
        <f>IF(AND(K55&lt;&gt;0,D55&lt;&gt;""),K55,0)</f>
        <v>0</v>
      </c>
      <c r="M55" s="375" t="str">
        <f>CHOOSE(K55+1,"Not to be included in this RFA","A REQUIRED input field for this RFA","An OPTIONAL input field for this RFA")</f>
        <v>An OPTIONAL input field for this RFA</v>
      </c>
    </row>
    <row r="56" spans="1:13" ht="10.35" customHeight="1">
      <c r="A56" s="13"/>
      <c r="B56" s="13"/>
      <c r="C56" s="13"/>
      <c r="D56" s="13"/>
      <c r="E56" s="142"/>
      <c r="F56" s="142"/>
      <c r="G56" s="142"/>
      <c r="H56" s="142"/>
      <c r="I56" s="13"/>
      <c r="J56" s="13"/>
      <c r="K56" s="384"/>
      <c r="L56" s="384"/>
      <c r="M56" s="13"/>
    </row>
    <row r="57" spans="1:13" ht="45" customHeight="1">
      <c r="A57" s="13"/>
      <c r="B57" s="117" t="s">
        <v>217</v>
      </c>
      <c r="C57" s="1826" t="s">
        <v>1932</v>
      </c>
      <c r="D57" s="1826"/>
      <c r="E57" s="1826"/>
      <c r="F57" s="1826"/>
      <c r="G57" s="1826"/>
      <c r="H57" s="1826"/>
      <c r="I57" s="1649"/>
      <c r="J57" s="597"/>
      <c r="K57" s="384"/>
      <c r="L57" s="384"/>
      <c r="M57" s="142"/>
    </row>
    <row r="58" spans="1:13" ht="10.35" customHeight="1">
      <c r="A58" s="13"/>
      <c r="B58" s="13"/>
      <c r="C58" s="13"/>
      <c r="D58" s="13"/>
      <c r="E58" s="142"/>
      <c r="F58" s="142"/>
      <c r="G58" s="142"/>
      <c r="H58" s="13"/>
      <c r="I58" s="13"/>
      <c r="J58" s="13"/>
      <c r="K58" s="384"/>
      <c r="L58" s="384"/>
      <c r="M58" s="13"/>
    </row>
    <row r="59" spans="1:13" ht="17.399999999999999" customHeight="1">
      <c r="A59" s="13"/>
      <c r="B59" s="117" t="s">
        <v>219</v>
      </c>
      <c r="C59" s="1826" t="s">
        <v>1985</v>
      </c>
      <c r="D59" s="1826"/>
      <c r="E59" s="1826"/>
      <c r="F59" s="1826"/>
      <c r="G59" s="1826"/>
      <c r="H59" s="142"/>
      <c r="I59" s="13"/>
      <c r="J59" s="13"/>
      <c r="K59" s="384"/>
      <c r="L59" s="384"/>
      <c r="M59" s="13"/>
    </row>
    <row r="60" spans="1:13" ht="30" customHeight="1">
      <c r="A60" s="13"/>
      <c r="B60" s="13"/>
      <c r="C60" s="135"/>
      <c r="D60" s="1826" t="s">
        <v>1986</v>
      </c>
      <c r="E60" s="1826"/>
      <c r="F60" s="1826"/>
      <c r="G60" s="1826"/>
      <c r="H60" s="1826"/>
      <c r="I60" s="1649"/>
      <c r="J60" s="597"/>
      <c r="K60" s="384"/>
      <c r="L60" s="384"/>
      <c r="M60" s="142"/>
    </row>
    <row r="61" spans="1:13" ht="32.1" customHeight="1">
      <c r="A61" s="13"/>
      <c r="B61" s="13"/>
      <c r="C61" s="13"/>
      <c r="D61" s="1833" t="s">
        <v>225</v>
      </c>
      <c r="E61" s="1833"/>
      <c r="F61" s="1833"/>
      <c r="G61" s="1832"/>
      <c r="H61" s="1832"/>
      <c r="I61" s="13"/>
      <c r="J61" s="13"/>
      <c r="K61" s="588">
        <v>1</v>
      </c>
      <c r="L61" s="384">
        <f>IF(AND(K61&lt;&gt;0,G61&lt;&gt;""),K61,0)</f>
        <v>0</v>
      </c>
      <c r="M61" s="375" t="str">
        <f>CHOOSE(K61+1,"Not to be included in this RFA","A REQUIRED input field for this RFA","An OPTIONAL input field for this RFA")</f>
        <v>A REQUIRED input field for this RFA</v>
      </c>
    </row>
    <row r="62" spans="1:13" ht="32.1" customHeight="1">
      <c r="A62" s="13"/>
      <c r="B62" s="13"/>
      <c r="C62" s="13"/>
      <c r="D62" s="1833" t="s">
        <v>226</v>
      </c>
      <c r="E62" s="1833"/>
      <c r="F62" s="1833"/>
      <c r="G62" s="1846"/>
      <c r="H62" s="1846"/>
      <c r="I62" s="13"/>
      <c r="J62" s="13"/>
      <c r="K62" s="588">
        <v>1</v>
      </c>
      <c r="L62" s="384">
        <f>IF(AND(K62&lt;&gt;0,G62&lt;&gt;""),K62,0)</f>
        <v>0</v>
      </c>
      <c r="M62" s="375" t="str">
        <f>CHOOSE(K62+1,"Not to be included in this RFA","A REQUIRED input field for this RFA","An OPTIONAL input field for this RFA")</f>
        <v>A REQUIRED input field for this RFA</v>
      </c>
    </row>
    <row r="63" spans="1:13" ht="10.35" customHeight="1">
      <c r="A63" s="13"/>
      <c r="B63" s="13"/>
      <c r="C63" s="13"/>
      <c r="D63" s="13"/>
      <c r="E63" s="142"/>
      <c r="F63" s="142"/>
      <c r="G63" s="142"/>
      <c r="H63" s="142"/>
      <c r="I63" s="13"/>
      <c r="J63" s="13"/>
      <c r="K63" s="384"/>
      <c r="L63" s="384"/>
      <c r="M63" s="13"/>
    </row>
    <row r="64" spans="1:13" ht="36" customHeight="1">
      <c r="A64" s="13"/>
      <c r="B64" s="13"/>
      <c r="C64" s="13"/>
      <c r="D64" s="172"/>
      <c r="E64" s="1831" t="s">
        <v>1984</v>
      </c>
      <c r="F64" s="1831"/>
      <c r="G64" s="1831"/>
      <c r="H64" s="1831"/>
      <c r="I64" s="379"/>
      <c r="J64" s="379"/>
      <c r="K64" s="383"/>
      <c r="L64" s="383"/>
      <c r="M64" s="379"/>
    </row>
    <row r="65" spans="1:14" ht="17.399999999999999" customHeight="1">
      <c r="A65" s="13"/>
      <c r="B65" s="13"/>
      <c r="C65" s="1811" t="s">
        <v>227</v>
      </c>
      <c r="D65" s="1811"/>
      <c r="E65" s="1811"/>
      <c r="F65" s="1820"/>
      <c r="G65" s="1820"/>
      <c r="H65" s="1820"/>
      <c r="I65" s="148"/>
      <c r="J65" s="148"/>
      <c r="K65" s="588">
        <v>1</v>
      </c>
      <c r="L65" s="384">
        <f>IF(AND(K65&lt;&gt;0,F65&lt;&gt;""),K65,0)</f>
        <v>0</v>
      </c>
      <c r="M65" s="375" t="str">
        <f>CHOOSE(K65+1,"Not to be included in this RFA","A REQUIRED input field for this RFA","An OPTIONAL input field for this RFA")</f>
        <v>A REQUIRED input field for this RFA</v>
      </c>
    </row>
    <row r="66" spans="1:14" ht="17.399999999999999" customHeight="1">
      <c r="A66" s="13"/>
      <c r="B66" s="17"/>
      <c r="C66" s="1818" t="s">
        <v>228</v>
      </c>
      <c r="D66" s="1818"/>
      <c r="E66" s="1818"/>
      <c r="F66" s="1843"/>
      <c r="G66" s="1843"/>
      <c r="H66" s="1843"/>
      <c r="I66" s="148"/>
      <c r="J66" s="148"/>
      <c r="K66" s="1822">
        <v>1</v>
      </c>
      <c r="L66" s="1813">
        <f>IF(AND(K66&lt;&gt;0,F66&lt;&gt;""),K66,0)</f>
        <v>0</v>
      </c>
      <c r="M66" s="1821" t="str">
        <f>CHOOSE(K66+1,"Not to be included in this RFA","A REQUIRED input field for this RFA","An OPTIONAL input field for this RFA")</f>
        <v>A REQUIRED input field for this RFA</v>
      </c>
    </row>
    <row r="67" spans="1:14" ht="17.399999999999999" customHeight="1">
      <c r="A67" s="13"/>
      <c r="B67" s="17"/>
      <c r="C67" s="1818"/>
      <c r="D67" s="1818"/>
      <c r="E67" s="1818"/>
      <c r="F67" s="1820"/>
      <c r="G67" s="1820"/>
      <c r="H67" s="1820"/>
      <c r="I67" s="13"/>
      <c r="J67" s="13"/>
      <c r="K67" s="1822"/>
      <c r="L67" s="1813"/>
      <c r="M67" s="1821"/>
    </row>
    <row r="68" spans="1:14" ht="17.399999999999999" hidden="1" customHeight="1">
      <c r="A68" s="13"/>
      <c r="B68" s="13"/>
      <c r="C68" s="1816" t="s">
        <v>1216</v>
      </c>
      <c r="D68" s="1816"/>
      <c r="E68" s="1816"/>
      <c r="F68" s="1598" t="s">
        <v>2</v>
      </c>
      <c r="G68" s="1827" t="s">
        <v>1570</v>
      </c>
      <c r="H68" s="1827"/>
      <c r="I68" s="24"/>
      <c r="J68" s="13"/>
      <c r="K68" s="658">
        <v>0</v>
      </c>
      <c r="L68" s="384">
        <f>IF(AND(K68&lt;&gt;0,F68&lt;&gt;"&lt;select one&gt;"),K68,0)</f>
        <v>0</v>
      </c>
      <c r="M68" s="375" t="str">
        <f>CHOOSE(K68+1,"Not to be included in this RFA","A REQUIRED input field for this RFA","An OPTIONAL input field for this RFA")</f>
        <v>Not to be included in this RFA</v>
      </c>
    </row>
    <row r="69" spans="1:14" ht="40.200000000000003" customHeight="1">
      <c r="A69" s="13"/>
      <c r="B69" s="13"/>
      <c r="C69" s="1816"/>
      <c r="D69" s="1816"/>
      <c r="E69" s="1816"/>
      <c r="F69" s="1820"/>
      <c r="G69" s="1820"/>
      <c r="H69" s="1820"/>
      <c r="I69" s="13"/>
      <c r="J69" s="13"/>
      <c r="K69" s="658">
        <v>2</v>
      </c>
      <c r="L69" s="638">
        <f>IF(AND(K69&lt;&gt;0,F69&lt;&gt;""),K69,0)</f>
        <v>0</v>
      </c>
      <c r="M69" s="640" t="str">
        <f>CHOOSE(K69+1,"Not to be included in this RFA","A REQUIRED input field for this RFA","An OPTIONAL input field for this RFA")</f>
        <v>An OPTIONAL input field for this RFA</v>
      </c>
    </row>
    <row r="70" spans="1:14" ht="17.399999999999999" customHeight="1">
      <c r="A70" s="13"/>
      <c r="B70" s="13"/>
      <c r="C70" s="1811" t="s">
        <v>229</v>
      </c>
      <c r="D70" s="1811"/>
      <c r="E70" s="1811"/>
      <c r="F70" s="1599"/>
      <c r="G70" s="1827" t="str">
        <f>IF(F70="","",IF(Data1!E$76="Percentage",IF(N(Total_Units)=0,"Please enter Total Units at Section 4.A.6.(a)",IF(Total_Units*Data1!E$74&gt;F70,"Units do not meet the minimum percentage requirement","")),IF(F70&lt;Data1!E$75,"Units do not meet the minimum # of units requirement","")))</f>
        <v/>
      </c>
      <c r="H70" s="1827"/>
      <c r="I70" s="13"/>
      <c r="J70" s="13"/>
      <c r="K70" s="588">
        <v>1</v>
      </c>
      <c r="L70" s="384">
        <f>IF(AND(K70&lt;&gt;0,F70&lt;&gt;""),K70,0)</f>
        <v>0</v>
      </c>
      <c r="M70" s="375" t="str">
        <f>CHOOSE(K70+1,"Not to be included in this RFA","A REQUIRED input field for this RFA","An OPTIONAL input field for this RFA")</f>
        <v>A REQUIRED input field for this RFA</v>
      </c>
    </row>
    <row r="71" spans="1:14" ht="17.399999999999999" customHeight="1">
      <c r="A71" s="13"/>
      <c r="B71" s="13"/>
      <c r="C71" s="1816" t="s">
        <v>230</v>
      </c>
      <c r="D71" s="1816"/>
      <c r="E71" s="1816"/>
      <c r="F71" s="1600"/>
      <c r="G71" s="1834" t="str">
        <f ca="1">IF(F71="","",IF(N(F71)&gt;44790,"Please enter only the year the development was completed.",IF(N(F71)&gt;YEAR(NOW()),"Please enter an appropriate year.",IF(N(F71)&lt;YEAR(DS_DevExpDate),"The year is prior to the earliest qualifying year",""))))</f>
        <v/>
      </c>
      <c r="H71" s="1834"/>
      <c r="I71" s="13"/>
      <c r="J71" s="13"/>
      <c r="K71" s="658">
        <v>1</v>
      </c>
      <c r="L71" s="384">
        <f>IF(AND(K71&lt;&gt;0,F71&lt;&gt;""),K71,0)</f>
        <v>0</v>
      </c>
      <c r="M71" s="375" t="str">
        <f>CHOOSE(K71+1,"Not to be included in this RFA","A REQUIRED input field for this RFA","An OPTIONAL input field for this RFA")</f>
        <v>A REQUIRED input field for this RFA</v>
      </c>
    </row>
    <row r="72" spans="1:14" ht="10.35" customHeight="1">
      <c r="A72" s="13"/>
      <c r="B72" s="13"/>
      <c r="C72" s="13"/>
      <c r="D72" s="13"/>
      <c r="E72" s="140"/>
      <c r="F72" s="164"/>
      <c r="G72" s="23"/>
      <c r="H72" s="76"/>
      <c r="I72" s="13"/>
      <c r="J72" s="13"/>
      <c r="K72" s="384"/>
      <c r="L72" s="384"/>
      <c r="M72" s="13"/>
    </row>
    <row r="73" spans="1:14" ht="32.1" hidden="1" customHeight="1">
      <c r="A73" s="13"/>
      <c r="B73" s="13"/>
      <c r="C73" s="13"/>
      <c r="D73" s="172" t="s">
        <v>231</v>
      </c>
      <c r="E73" s="1831" t="s">
        <v>232</v>
      </c>
      <c r="F73" s="1831"/>
      <c r="G73" s="1831"/>
      <c r="H73" s="1831"/>
      <c r="I73" s="1660"/>
      <c r="J73" s="13"/>
      <c r="K73" s="384"/>
      <c r="L73" s="384"/>
      <c r="M73" s="576">
        <v>0</v>
      </c>
    </row>
    <row r="74" spans="1:14" ht="17.399999999999999" hidden="1" customHeight="1">
      <c r="A74" s="13"/>
      <c r="B74" s="13"/>
      <c r="C74" s="1811" t="s">
        <v>227</v>
      </c>
      <c r="D74" s="1811"/>
      <c r="E74" s="1811"/>
      <c r="F74" s="1832"/>
      <c r="G74" s="1832"/>
      <c r="H74" s="1832"/>
      <c r="I74" s="1660"/>
      <c r="J74" s="13"/>
      <c r="K74" s="1421">
        <f>IF(M$73=0,0,N74)</f>
        <v>0</v>
      </c>
      <c r="L74" s="384">
        <v>0</v>
      </c>
      <c r="M74" s="375" t="str">
        <f>CHOOSE(K74+1,"Not to be included in this RFA","A REQUIRED input field for this RFA","An OPTIONAL input field for this RFA")</f>
        <v>Not to be included in this RFA</v>
      </c>
      <c r="N74" s="588">
        <v>0</v>
      </c>
    </row>
    <row r="75" spans="1:14" ht="17.399999999999999" hidden="1" customHeight="1">
      <c r="A75" s="13"/>
      <c r="B75" s="13"/>
      <c r="C75" s="1811" t="s">
        <v>228</v>
      </c>
      <c r="D75" s="1811"/>
      <c r="E75" s="1811"/>
      <c r="F75" s="1845"/>
      <c r="G75" s="1845"/>
      <c r="H75" s="1845"/>
      <c r="I75" s="1660"/>
      <c r="J75" s="13"/>
      <c r="K75" s="1812">
        <v>0</v>
      </c>
      <c r="L75" s="1813">
        <f>IF(AND(K75&lt;&gt;0,F75&lt;&gt;""),K75,0)</f>
        <v>0</v>
      </c>
      <c r="M75" s="1821" t="str">
        <f>CHOOSE(K75+1,"Not to be included in this RFA","A REQUIRED input field for this RFA","An OPTIONAL input field for this RFA")</f>
        <v>Not to be included in this RFA</v>
      </c>
      <c r="N75" s="1822">
        <v>1</v>
      </c>
    </row>
    <row r="76" spans="1:14" ht="17.399999999999999" hidden="1" customHeight="1">
      <c r="A76" s="13"/>
      <c r="B76" s="13"/>
      <c r="C76" s="1811"/>
      <c r="D76" s="1811"/>
      <c r="E76" s="1811"/>
      <c r="F76" s="1832"/>
      <c r="G76" s="1832"/>
      <c r="H76" s="1832"/>
      <c r="I76" s="1660"/>
      <c r="J76" s="13"/>
      <c r="K76" s="1812"/>
      <c r="L76" s="1813"/>
      <c r="M76" s="1821"/>
      <c r="N76" s="1822"/>
    </row>
    <row r="77" spans="1:14" ht="17.399999999999999" hidden="1" customHeight="1">
      <c r="A77" s="13"/>
      <c r="B77" s="13"/>
      <c r="C77" s="1816" t="s">
        <v>1216</v>
      </c>
      <c r="D77" s="1816"/>
      <c r="E77" s="1816"/>
      <c r="F77" s="1598" t="s">
        <v>2</v>
      </c>
      <c r="G77" s="1847" t="s">
        <v>1570</v>
      </c>
      <c r="H77" s="1847"/>
      <c r="I77" s="24"/>
      <c r="J77" s="13"/>
      <c r="K77" s="1421">
        <f>IF(M$73=0,0,N77)</f>
        <v>0</v>
      </c>
      <c r="L77" s="384">
        <f>IF(AND(K77&lt;&gt;0,F77&lt;&gt;"&lt;select one&gt;"),K77,0)</f>
        <v>0</v>
      </c>
      <c r="M77" s="375" t="str">
        <f>CHOOSE(K77+1,"Not to be included in this RFA","A REQUIRED input field for this RFA","An OPTIONAL input field for this RFA")</f>
        <v>Not to be included in this RFA</v>
      </c>
      <c r="N77" s="1390">
        <v>0</v>
      </c>
    </row>
    <row r="78" spans="1:14" ht="40.200000000000003" hidden="1" customHeight="1">
      <c r="A78" s="13"/>
      <c r="B78" s="13"/>
      <c r="C78" s="1816"/>
      <c r="D78" s="1816"/>
      <c r="E78" s="1816"/>
      <c r="F78" s="1820"/>
      <c r="G78" s="1820"/>
      <c r="H78" s="1820"/>
      <c r="I78" s="24"/>
      <c r="J78" s="13"/>
      <c r="K78" s="1421">
        <v>0</v>
      </c>
      <c r="L78" s="638">
        <f>IF(AND(K78&lt;&gt;0,F78&lt;&gt;""),K78,0)</f>
        <v>0</v>
      </c>
      <c r="M78" s="640" t="str">
        <f>CHOOSE(K78+1,"Not to be included in this RFA","A REQUIRED input field for this RFA","An OPTIONAL input field for this RFA")</f>
        <v>Not to be included in this RFA</v>
      </c>
      <c r="N78" s="1390">
        <v>2</v>
      </c>
    </row>
    <row r="79" spans="1:14" ht="17.399999999999999" hidden="1" customHeight="1">
      <c r="A79" s="13"/>
      <c r="B79" s="13"/>
      <c r="C79" s="1811" t="s">
        <v>229</v>
      </c>
      <c r="D79" s="1811"/>
      <c r="E79" s="1811"/>
      <c r="F79" s="1601"/>
      <c r="G79" s="1827" t="str">
        <f>IF(F79="","",IF(Data1!E$76="Percentage",IF(N(Total_Units)=0,"Please enter Total Units at Section 4.A.6.(a)",IF(Total_Units*Data1!E$74&gt;F79,"Units do not meet the minimum percentage requirement","")),IF(F79&lt;Data1!E$75,"Units do not meet the minimum # of units requirement","")))</f>
        <v/>
      </c>
      <c r="H79" s="1827"/>
      <c r="I79" s="24"/>
      <c r="J79" s="13"/>
      <c r="K79" s="1421">
        <v>0</v>
      </c>
      <c r="L79" s="384">
        <f>IF(AND(K79&lt;&gt;0,F79&lt;&gt;""),K79,0)</f>
        <v>0</v>
      </c>
      <c r="M79" s="375" t="str">
        <f>CHOOSE(K79+1,"Not to be included in this RFA","A REQUIRED input field for this RFA","An OPTIONAL input field for this RFA")</f>
        <v>Not to be included in this RFA</v>
      </c>
      <c r="N79" s="1390">
        <v>1</v>
      </c>
    </row>
    <row r="80" spans="1:14" ht="17.399999999999999" hidden="1" customHeight="1">
      <c r="A80" s="13"/>
      <c r="B80" s="13"/>
      <c r="C80" s="1811" t="s">
        <v>230</v>
      </c>
      <c r="D80" s="1811"/>
      <c r="E80" s="1811"/>
      <c r="F80" s="1600"/>
      <c r="G80" s="1834" t="str">
        <f ca="1">IF(F80="","",IF(N(F80)&gt;44790,"Please enter only the year the development was completed.",IF(N(F80)&gt;YEAR(NOW()),"Please enter an appropriate year.",IF(N(F80)&lt;YEAR(DS_DevExpDate),"The year is prior to the earliest qualifying year",""))))</f>
        <v/>
      </c>
      <c r="H80" s="1834"/>
      <c r="I80" s="24"/>
      <c r="J80" s="13"/>
      <c r="K80" s="1421">
        <v>0</v>
      </c>
      <c r="L80" s="384">
        <f>IF(AND(K80&lt;&gt;0,F80&lt;&gt;""),K80,0)</f>
        <v>0</v>
      </c>
      <c r="M80" s="375" t="str">
        <f>CHOOSE(K80+1,"Not to be included in this RFA","A REQUIRED input field for this RFA","An OPTIONAL input field for this RFA")</f>
        <v>Not to be included in this RFA</v>
      </c>
      <c r="N80" s="1390">
        <v>1</v>
      </c>
    </row>
    <row r="81" spans="1:14" ht="10.35" hidden="1" customHeight="1">
      <c r="A81" s="13"/>
      <c r="B81" s="13"/>
      <c r="C81" s="13"/>
      <c r="D81" s="13"/>
      <c r="E81" s="140"/>
      <c r="F81" s="164"/>
      <c r="G81" s="23"/>
      <c r="H81" s="76"/>
      <c r="I81" s="24"/>
      <c r="J81" s="13"/>
      <c r="K81" s="384"/>
      <c r="L81" s="384"/>
      <c r="M81" s="13"/>
    </row>
    <row r="82" spans="1:14" ht="32.1" hidden="1" customHeight="1">
      <c r="A82" s="13"/>
      <c r="B82" s="13"/>
      <c r="C82" s="13"/>
      <c r="D82" s="172" t="s">
        <v>233</v>
      </c>
      <c r="E82" s="1831" t="s">
        <v>234</v>
      </c>
      <c r="F82" s="1831"/>
      <c r="G82" s="1831"/>
      <c r="H82" s="1831"/>
      <c r="I82" s="24"/>
      <c r="J82" s="13"/>
      <c r="K82" s="384"/>
      <c r="L82" s="384"/>
      <c r="M82" s="576">
        <v>0</v>
      </c>
    </row>
    <row r="83" spans="1:14" ht="17.399999999999999" hidden="1" customHeight="1">
      <c r="A83" s="13"/>
      <c r="B83" s="13"/>
      <c r="C83" s="1811" t="s">
        <v>227</v>
      </c>
      <c r="D83" s="1811"/>
      <c r="E83" s="1811"/>
      <c r="F83" s="1820"/>
      <c r="G83" s="1820"/>
      <c r="H83" s="1820"/>
      <c r="I83" s="24"/>
      <c r="J83" s="13"/>
      <c r="K83" s="1421">
        <f>IF(M$82=0,0,N83)</f>
        <v>0</v>
      </c>
      <c r="L83" s="384">
        <f>IF(AND(K83&lt;&gt;0,F83&lt;&gt;""),K83,0)</f>
        <v>0</v>
      </c>
      <c r="M83" s="375" t="str">
        <f>CHOOSE(K83+1,"Not to be included in this RFA","A REQUIRED input field for this RFA","An OPTIONAL input field for this RFA")</f>
        <v>Not to be included in this RFA</v>
      </c>
      <c r="N83" s="588">
        <v>1</v>
      </c>
    </row>
    <row r="84" spans="1:14" ht="17.399999999999999" hidden="1" customHeight="1">
      <c r="A84" s="13"/>
      <c r="B84" s="13"/>
      <c r="C84" s="1811" t="s">
        <v>228</v>
      </c>
      <c r="D84" s="1811"/>
      <c r="E84" s="1811"/>
      <c r="F84" s="1843"/>
      <c r="G84" s="1843"/>
      <c r="H84" s="1843"/>
      <c r="I84" s="24"/>
      <c r="J84" s="13"/>
      <c r="K84" s="1812">
        <f>IF(M$82=0,0,N84)</f>
        <v>0</v>
      </c>
      <c r="L84" s="1813">
        <f>IF(AND(K84&lt;&gt;0,F84&lt;&gt;""),K84,0)</f>
        <v>0</v>
      </c>
      <c r="M84" s="1821" t="str">
        <f>CHOOSE(K84+1,"Not to be included in this RFA","A REQUIRED input field for this RFA","An OPTIONAL input field for this RFA")</f>
        <v>Not to be included in this RFA</v>
      </c>
      <c r="N84" s="1822">
        <v>1</v>
      </c>
    </row>
    <row r="85" spans="1:14" ht="17.399999999999999" hidden="1" customHeight="1">
      <c r="A85" s="13"/>
      <c r="B85" s="13"/>
      <c r="C85" s="1811"/>
      <c r="D85" s="1811"/>
      <c r="E85" s="1811"/>
      <c r="F85" s="1820"/>
      <c r="G85" s="1820"/>
      <c r="H85" s="1820"/>
      <c r="I85" s="24"/>
      <c r="J85" s="13"/>
      <c r="K85" s="1812"/>
      <c r="L85" s="1813"/>
      <c r="M85" s="1821"/>
      <c r="N85" s="1822"/>
    </row>
    <row r="86" spans="1:14" ht="17.399999999999999" hidden="1" customHeight="1">
      <c r="A86" s="13"/>
      <c r="B86" s="13"/>
      <c r="C86" s="1816" t="s">
        <v>1216</v>
      </c>
      <c r="D86" s="1816"/>
      <c r="E86" s="1816"/>
      <c r="F86" s="1598" t="s">
        <v>2</v>
      </c>
      <c r="G86" s="1847" t="s">
        <v>1570</v>
      </c>
      <c r="H86" s="1847"/>
      <c r="I86" s="24"/>
      <c r="J86" s="13"/>
      <c r="K86" s="1421">
        <f>IF(M$82=0,0,N86)</f>
        <v>0</v>
      </c>
      <c r="L86" s="638">
        <f>IF(AND(K86&lt;&gt;0,F86&lt;&gt;"&lt;select one&gt;"),K86,0)</f>
        <v>0</v>
      </c>
      <c r="M86" s="640" t="str">
        <f>CHOOSE(K86+1,"Not to be included in this RFA","A REQUIRED input field for this RFA","An OPTIONAL input field for this RFA")</f>
        <v>Not to be included in this RFA</v>
      </c>
      <c r="N86" s="1390">
        <v>1</v>
      </c>
    </row>
    <row r="87" spans="1:14" ht="40.200000000000003" hidden="1" customHeight="1">
      <c r="A87" s="13"/>
      <c r="B87" s="13"/>
      <c r="C87" s="1816"/>
      <c r="D87" s="1816"/>
      <c r="E87" s="1816"/>
      <c r="F87" s="1820"/>
      <c r="G87" s="1820"/>
      <c r="H87" s="1820"/>
      <c r="I87" s="24"/>
      <c r="J87" s="13"/>
      <c r="K87" s="1421">
        <f>IF(M$82=0,0,N87)</f>
        <v>0</v>
      </c>
      <c r="L87" s="638">
        <f>IF(AND(K87&lt;&gt;0,F87&lt;&gt;""),K87,0)</f>
        <v>0</v>
      </c>
      <c r="M87" s="640" t="str">
        <f>CHOOSE(K87+1,"Not to be included in this RFA","A REQUIRED input field for this RFA","An OPTIONAL input field for this RFA")</f>
        <v>Not to be included in this RFA</v>
      </c>
      <c r="N87" s="1390">
        <v>2</v>
      </c>
    </row>
    <row r="88" spans="1:14" ht="17.399999999999999" hidden="1" customHeight="1">
      <c r="A88" s="13"/>
      <c r="B88" s="13"/>
      <c r="C88" s="1811" t="s">
        <v>229</v>
      </c>
      <c r="D88" s="1811"/>
      <c r="E88" s="1811"/>
      <c r="F88" s="1599"/>
      <c r="G88" s="1827" t="str">
        <f>IF(F88="","",IF(Data1!E$76="Percentage",IF(N(Total_Units)=0,"Please enter Total Units at Section 4.A.6.(a)",IF(Total_Units*Data1!E$74&gt;F88,"Units do not meet the minimum percentage requirement","")),IF(F88&lt;Data1!E$75,"Units do not meet the minimum # of units requirement","")))</f>
        <v/>
      </c>
      <c r="H88" s="1827"/>
      <c r="I88" s="24"/>
      <c r="J88" s="13"/>
      <c r="K88" s="1421">
        <f>IF(M$82=0,0,N88)</f>
        <v>0</v>
      </c>
      <c r="L88" s="384">
        <f>IF(AND(K88&lt;&gt;0,F88&lt;&gt;""),K88,0)</f>
        <v>0</v>
      </c>
      <c r="M88" s="375" t="str">
        <f>CHOOSE(K88+1,"Not to be included in this RFA","A REQUIRED input field for this RFA","An OPTIONAL input field for this RFA")</f>
        <v>Not to be included in this RFA</v>
      </c>
      <c r="N88" s="1390">
        <v>1</v>
      </c>
    </row>
    <row r="89" spans="1:14" ht="17.399999999999999" hidden="1" customHeight="1">
      <c r="A89" s="13"/>
      <c r="B89" s="13"/>
      <c r="C89" s="1811" t="s">
        <v>230</v>
      </c>
      <c r="D89" s="1811"/>
      <c r="E89" s="1811"/>
      <c r="F89" s="1600"/>
      <c r="G89" s="1834" t="str">
        <f ca="1">IF(F89="","",IF(N(F89)&gt;44790,"Please enter only the year the development was completed.",IF(N(F89)&gt;YEAR(NOW()),"Please enter an appropriate year.",IF(N(F89)&lt;YEAR(DS_DevExpDate),"The year is prior to the earliest qualifying year",""))))</f>
        <v/>
      </c>
      <c r="H89" s="1834"/>
      <c r="I89" s="24"/>
      <c r="J89" s="13"/>
      <c r="K89" s="1421">
        <f>IF(M$82=0,0,N89)</f>
        <v>0</v>
      </c>
      <c r="L89" s="384">
        <f>IF(AND(K89&lt;&gt;0,F89&lt;&gt;""),K89,0)</f>
        <v>0</v>
      </c>
      <c r="M89" s="375" t="str">
        <f>CHOOSE(K89+1,"Not to be included in this RFA","A REQUIRED input field for this RFA","An OPTIONAL input field for this RFA")</f>
        <v>Not to be included in this RFA</v>
      </c>
      <c r="N89" s="1390">
        <v>1</v>
      </c>
    </row>
    <row r="90" spans="1:14" ht="10.35" hidden="1" customHeight="1">
      <c r="A90" s="13"/>
      <c r="B90" s="13"/>
      <c r="C90" s="13"/>
      <c r="D90" s="13"/>
      <c r="E90" s="140"/>
      <c r="F90" s="164"/>
      <c r="G90" s="118"/>
      <c r="H90" s="119"/>
      <c r="I90" s="24"/>
      <c r="J90" s="13"/>
      <c r="K90" s="384"/>
      <c r="L90" s="384"/>
      <c r="M90" s="13"/>
    </row>
    <row r="91" spans="1:14" s="19" customFormat="1" ht="17.399999999999999" hidden="1" customHeight="1">
      <c r="A91" s="24"/>
      <c r="B91" s="24"/>
      <c r="C91" s="135" t="str">
        <f>IF(SUM(K61:K89)=0,"(a)","(b)")</f>
        <v>(b)</v>
      </c>
      <c r="D91" s="1828" t="s">
        <v>236</v>
      </c>
      <c r="E91" s="1828"/>
      <c r="F91" s="1828"/>
      <c r="G91" s="1828"/>
      <c r="H91" s="1828"/>
      <c r="I91" s="24"/>
      <c r="J91" s="24"/>
      <c r="K91" s="383"/>
      <c r="L91" s="383"/>
      <c r="M91" s="576">
        <v>0</v>
      </c>
    </row>
    <row r="92" spans="1:14" s="19" customFormat="1" ht="32.1" hidden="1" customHeight="1">
      <c r="A92" s="24"/>
      <c r="B92" s="24"/>
      <c r="C92" s="24"/>
      <c r="D92" s="24"/>
      <c r="E92" s="1828" t="s">
        <v>237</v>
      </c>
      <c r="F92" s="1828"/>
      <c r="G92" s="1828"/>
      <c r="H92" s="1828"/>
      <c r="I92" s="101"/>
      <c r="J92" s="101"/>
      <c r="K92" s="383"/>
      <c r="L92" s="383"/>
      <c r="M92" s="24"/>
    </row>
    <row r="93" spans="1:14" s="19" customFormat="1" ht="10.35" hidden="1" customHeight="1">
      <c r="A93" s="24"/>
      <c r="B93" s="24"/>
      <c r="C93" s="24"/>
      <c r="D93" s="24"/>
      <c r="E93" s="101"/>
      <c r="F93" s="101"/>
      <c r="G93" s="101"/>
      <c r="H93" s="100"/>
      <c r="I93" s="101"/>
      <c r="J93" s="101"/>
      <c r="K93" s="383"/>
      <c r="L93" s="383"/>
      <c r="M93" s="24"/>
    </row>
    <row r="94" spans="1:14" s="19" customFormat="1" ht="14.4" customHeight="1">
      <c r="A94" s="1178" t="str" cm="1">
        <f t="array" ref="A94">CHAR(CODE(LOOKUP(2,1/(COUNTIF(A$27:A93,"&gt;"&amp;A$27:A93&amp;"*")=0),A$27:A93))+1)</f>
        <v>c</v>
      </c>
      <c r="B94" s="1819" t="s">
        <v>239</v>
      </c>
      <c r="C94" s="1819"/>
      <c r="D94" s="1819"/>
      <c r="E94" s="1819"/>
      <c r="F94" s="1819"/>
      <c r="G94" s="1819"/>
      <c r="H94" s="1819"/>
      <c r="I94" s="101"/>
      <c r="J94" s="101"/>
      <c r="K94" s="383"/>
      <c r="L94" s="383"/>
      <c r="M94" s="24"/>
    </row>
    <row r="95" spans="1:14" s="95" customFormat="1" ht="17.399999999999999" customHeight="1">
      <c r="A95" s="94"/>
      <c r="B95" s="131" t="s">
        <v>215</v>
      </c>
      <c r="C95" s="1849" t="s">
        <v>1558</v>
      </c>
      <c r="D95" s="1849"/>
      <c r="E95" s="1849"/>
      <c r="F95" s="1849"/>
      <c r="G95" s="1849"/>
      <c r="H95" s="1849"/>
      <c r="I95" s="101"/>
      <c r="J95" s="101"/>
      <c r="K95" s="383"/>
      <c r="L95" s="383"/>
      <c r="M95" s="94"/>
    </row>
    <row r="96" spans="1:14" s="95" customFormat="1" ht="47.25" customHeight="1">
      <c r="A96" s="94"/>
      <c r="B96" s="94"/>
      <c r="C96" s="94"/>
      <c r="D96" s="1828" t="s">
        <v>1933</v>
      </c>
      <c r="E96" s="1828"/>
      <c r="F96" s="1828"/>
      <c r="G96" s="1828"/>
      <c r="H96" s="1828"/>
      <c r="I96" s="101"/>
      <c r="J96" s="101"/>
      <c r="K96" s="383"/>
      <c r="L96" s="383"/>
      <c r="M96" s="94"/>
    </row>
    <row r="97" spans="1:13" s="95" customFormat="1" ht="10.35" customHeight="1">
      <c r="A97" s="94"/>
      <c r="B97" s="94"/>
      <c r="C97" s="94"/>
      <c r="D97" s="94"/>
      <c r="E97" s="74"/>
      <c r="F97" s="74"/>
      <c r="G97" s="74"/>
      <c r="H97" s="74"/>
      <c r="I97" s="101"/>
      <c r="J97" s="101"/>
      <c r="K97" s="383"/>
      <c r="L97" s="383"/>
      <c r="M97" s="94"/>
    </row>
    <row r="98" spans="1:13" s="95" customFormat="1" ht="17.399999999999999" customHeight="1">
      <c r="A98" s="94"/>
      <c r="B98" s="132" t="s">
        <v>217</v>
      </c>
      <c r="C98" s="1849" t="s">
        <v>240</v>
      </c>
      <c r="D98" s="1849"/>
      <c r="E98" s="1849"/>
      <c r="F98" s="1849"/>
      <c r="G98" s="1849"/>
      <c r="H98" s="1849"/>
      <c r="I98" s="101"/>
      <c r="J98" s="101"/>
      <c r="K98" s="383"/>
      <c r="L98" s="383"/>
      <c r="M98" s="94"/>
    </row>
    <row r="99" spans="1:13" s="19" customFormat="1" ht="45.9" customHeight="1">
      <c r="A99" s="24"/>
      <c r="B99" s="24"/>
      <c r="C99" s="24"/>
      <c r="D99" s="1829" t="s">
        <v>241</v>
      </c>
      <c r="E99" s="1829"/>
      <c r="F99" s="1829"/>
      <c r="G99" s="1829"/>
      <c r="H99" s="1829"/>
      <c r="I99" s="101"/>
      <c r="J99" s="101"/>
      <c r="K99" s="383"/>
      <c r="L99" s="383"/>
      <c r="M99" s="24"/>
    </row>
    <row r="100" spans="1:13" s="19" customFormat="1" ht="10.35" customHeight="1">
      <c r="A100" s="24"/>
      <c r="B100" s="24"/>
      <c r="C100" s="24"/>
      <c r="D100" s="24"/>
      <c r="E100" s="143"/>
      <c r="F100" s="143"/>
      <c r="G100" s="143"/>
      <c r="H100" s="143"/>
      <c r="I100" s="101"/>
      <c r="J100" s="101"/>
      <c r="K100" s="383"/>
      <c r="L100" s="383"/>
      <c r="M100" s="24"/>
    </row>
    <row r="101" spans="1:13" s="19" customFormat="1" ht="17.399999999999999" hidden="1" customHeight="1">
      <c r="A101" s="24"/>
      <c r="B101" s="134" t="s">
        <v>219</v>
      </c>
      <c r="C101" s="1850" t="s">
        <v>242</v>
      </c>
      <c r="D101" s="1850"/>
      <c r="E101" s="1850"/>
      <c r="F101" s="1850"/>
      <c r="G101" s="1850"/>
      <c r="H101" s="1850"/>
      <c r="I101" s="101"/>
      <c r="J101" s="101"/>
      <c r="K101" s="383"/>
      <c r="L101" s="383"/>
      <c r="M101" s="24"/>
    </row>
    <row r="102" spans="1:13" s="19" customFormat="1" ht="32.1" hidden="1" customHeight="1">
      <c r="A102" s="24"/>
      <c r="B102" s="24"/>
      <c r="C102" s="24"/>
      <c r="D102" s="1829" t="s">
        <v>243</v>
      </c>
      <c r="E102" s="1829"/>
      <c r="F102" s="1829"/>
      <c r="G102" s="1829"/>
      <c r="H102" s="1829"/>
      <c r="I102" s="101"/>
      <c r="J102" s="101"/>
      <c r="K102" s="383"/>
      <c r="L102" s="383"/>
      <c r="M102" s="24"/>
    </row>
    <row r="103" spans="1:13" s="19" customFormat="1" ht="17.399999999999999" hidden="1" customHeight="1">
      <c r="A103" s="24"/>
      <c r="B103" s="24"/>
      <c r="C103" s="24"/>
      <c r="D103" s="1832" t="s">
        <v>2</v>
      </c>
      <c r="E103" s="1832"/>
      <c r="F103" s="149"/>
      <c r="G103" s="149"/>
      <c r="H103" s="100"/>
      <c r="I103" s="101"/>
      <c r="J103" s="101"/>
      <c r="K103" s="588">
        <v>0</v>
      </c>
      <c r="L103" s="384">
        <f>IF(AND(K103&lt;&gt;0,AND(D103&lt;&gt;"&lt;select one&gt;",D103&lt;&gt;"")),K103,0)</f>
        <v>0</v>
      </c>
      <c r="M103" s="375" t="str">
        <f>CHOOSE(K103+1,"Not to be included in this RFA","A REQUIRED input field for this RFA","An OPTIONAL input field for this RFA")</f>
        <v>Not to be included in this RFA</v>
      </c>
    </row>
    <row r="104" spans="1:13" s="19" customFormat="1" ht="10.35" hidden="1" customHeight="1">
      <c r="A104" s="24"/>
      <c r="B104" s="24"/>
      <c r="C104" s="24"/>
      <c r="D104" s="24"/>
      <c r="E104" s="164"/>
      <c r="F104" s="149"/>
      <c r="G104" s="149"/>
      <c r="H104" s="100"/>
      <c r="I104" s="101"/>
      <c r="J104" s="101"/>
      <c r="K104" s="383"/>
      <c r="L104" s="383"/>
      <c r="M104" s="24"/>
    </row>
    <row r="105" spans="1:13" s="19" customFormat="1" ht="14.4" customHeight="1">
      <c r="A105" s="1178" t="str" cm="1">
        <f t="array" ref="A105">IF(SUM($K$109:$K$118)=0,"",CHAR(CODE(LOOKUP(2,1/(COUNTIF(A$27:A104,"&gt;"&amp;A$27:A104&amp;"*")=0),A$27:A104))+1))</f>
        <v>d</v>
      </c>
      <c r="B105" s="1819" t="s">
        <v>245</v>
      </c>
      <c r="C105" s="1819"/>
      <c r="D105" s="1819"/>
      <c r="E105" s="1819"/>
      <c r="F105" s="1819"/>
      <c r="G105" s="1819"/>
      <c r="H105" s="1819"/>
      <c r="I105" s="101"/>
      <c r="J105" s="101"/>
      <c r="K105" s="383"/>
      <c r="L105" s="383"/>
      <c r="M105" s="24"/>
    </row>
    <row r="106" spans="1:13" s="19" customFormat="1" ht="17.399999999999999" customHeight="1">
      <c r="A106" s="100"/>
      <c r="B106" s="121" t="s">
        <v>215</v>
      </c>
      <c r="C106" s="1828" t="s">
        <v>246</v>
      </c>
      <c r="D106" s="1828"/>
      <c r="E106" s="1828"/>
      <c r="F106" s="1828"/>
      <c r="G106" s="1828"/>
      <c r="H106" s="1828"/>
      <c r="I106" s="101"/>
      <c r="J106" s="101"/>
      <c r="K106" s="383"/>
      <c r="L106" s="383"/>
      <c r="M106" s="24"/>
    </row>
    <row r="107" spans="1:13" s="19" customFormat="1" ht="17.399999999999999" customHeight="1">
      <c r="A107" s="100"/>
      <c r="B107" s="121"/>
      <c r="C107" s="1818" t="s">
        <v>260</v>
      </c>
      <c r="D107" s="1818"/>
      <c r="E107" s="1818"/>
      <c r="F107" s="1602"/>
      <c r="G107" s="1412" t="s">
        <v>2143</v>
      </c>
      <c r="H107" s="1602"/>
      <c r="I107" s="11"/>
      <c r="J107" s="11"/>
      <c r="K107" s="588">
        <v>2</v>
      </c>
      <c r="L107" s="1409">
        <f>IF(AND(K107&lt;&gt;0,F107&lt;&gt;""),K107,0)</f>
        <v>0</v>
      </c>
      <c r="M107" s="1410" t="str">
        <f t="shared" ref="M107:M108" si="0">CHOOSE(K107+1,"Not to be included in this RFA","A REQUIRED input field for this RFA","An OPTIONAL input field for this RFA")</f>
        <v>An OPTIONAL input field for this RFA</v>
      </c>
    </row>
    <row r="108" spans="1:13" s="19" customFormat="1" ht="17.399999999999999" customHeight="1">
      <c r="A108" s="100"/>
      <c r="B108" s="121"/>
      <c r="C108" s="1818" t="s">
        <v>261</v>
      </c>
      <c r="D108" s="1818"/>
      <c r="E108" s="1818"/>
      <c r="F108" s="1599"/>
      <c r="G108" s="123"/>
      <c r="H108" s="123"/>
      <c r="I108" s="1651"/>
      <c r="J108" s="96"/>
      <c r="K108" s="588">
        <v>2</v>
      </c>
      <c r="L108" s="1409">
        <f>IF(AND(K108&lt;&gt;0,F108&lt;&gt;""),K108,0)</f>
        <v>0</v>
      </c>
      <c r="M108" s="1410" t="str">
        <f t="shared" si="0"/>
        <v>An OPTIONAL input field for this RFA</v>
      </c>
    </row>
    <row r="109" spans="1:13" ht="17.399999999999999" customHeight="1">
      <c r="A109" s="16"/>
      <c r="B109" s="16"/>
      <c r="C109" s="1811" t="s">
        <v>247</v>
      </c>
      <c r="D109" s="1811"/>
      <c r="E109" s="1811"/>
      <c r="F109" s="1815"/>
      <c r="G109" s="1815"/>
      <c r="H109" s="1815"/>
      <c r="K109" s="588">
        <v>2</v>
      </c>
      <c r="L109" s="384">
        <f>IF(AND(K109&lt;&gt;0,F109&lt;&gt;""),K109,0)</f>
        <v>0</v>
      </c>
      <c r="M109" s="375" t="str">
        <f t="shared" ref="M109:M115" si="1">CHOOSE(K109+1,"Not to be included in this RFA","A REQUIRED input field for this RFA","An OPTIONAL input field for this RFA")</f>
        <v>An OPTIONAL input field for this RFA</v>
      </c>
    </row>
    <row r="110" spans="1:13" ht="17.399999999999999" customHeight="1">
      <c r="A110" s="16"/>
      <c r="B110" s="16"/>
      <c r="C110" s="1811" t="s">
        <v>248</v>
      </c>
      <c r="D110" s="1811"/>
      <c r="E110" s="1811"/>
      <c r="F110" s="1817"/>
      <c r="G110" s="1817"/>
      <c r="H110" s="1817"/>
      <c r="K110" s="658">
        <v>2</v>
      </c>
      <c r="L110" s="384">
        <f>IF(AND(K110&lt;&gt;0,F110&lt;&gt;""),K110,0)</f>
        <v>0</v>
      </c>
      <c r="M110" s="375" t="str">
        <f t="shared" si="1"/>
        <v>An OPTIONAL input field for this RFA</v>
      </c>
    </row>
    <row r="111" spans="1:13" ht="17.399999999999999" customHeight="1">
      <c r="A111" s="16"/>
      <c r="B111" s="16"/>
      <c r="C111" s="1811" t="s">
        <v>249</v>
      </c>
      <c r="D111" s="1811"/>
      <c r="E111" s="1811"/>
      <c r="F111" s="1817"/>
      <c r="G111" s="1817"/>
      <c r="H111" s="1817"/>
      <c r="I111" s="25"/>
      <c r="J111" s="25"/>
      <c r="K111" s="658">
        <v>2</v>
      </c>
      <c r="L111" s="384">
        <f>IF(AND(K111&lt;&gt;0,F111&lt;&gt;""),K111,0)</f>
        <v>0</v>
      </c>
      <c r="M111" s="375" t="str">
        <f t="shared" si="1"/>
        <v>An OPTIONAL input field for this RFA</v>
      </c>
    </row>
    <row r="112" spans="1:13" ht="17.399999999999999" customHeight="1">
      <c r="A112" s="16"/>
      <c r="B112" s="16"/>
      <c r="C112" s="1811" t="s">
        <v>250</v>
      </c>
      <c r="D112" s="1811"/>
      <c r="E112" s="1811"/>
      <c r="F112" s="1603" t="s">
        <v>2</v>
      </c>
      <c r="G112" s="120"/>
      <c r="H112" s="120"/>
      <c r="I112" s="25"/>
      <c r="J112" s="25"/>
      <c r="K112" s="658">
        <v>2</v>
      </c>
      <c r="L112" s="384">
        <f>IF(AND(K112&lt;&gt;0,AND(F112&lt;&gt;"&lt;select one&gt;",F112&lt;&gt;"")),K112,0)</f>
        <v>0</v>
      </c>
      <c r="M112" s="375" t="str">
        <f t="shared" si="1"/>
        <v>An OPTIONAL input field for this RFA</v>
      </c>
    </row>
    <row r="113" spans="1:14" ht="17.399999999999999" customHeight="1">
      <c r="A113" s="16"/>
      <c r="B113" s="16"/>
      <c r="C113" s="1811" t="s">
        <v>251</v>
      </c>
      <c r="D113" s="1811"/>
      <c r="E113" s="1811"/>
      <c r="F113" s="1603"/>
      <c r="G113" s="120"/>
      <c r="H113" s="120"/>
      <c r="I113" s="25"/>
      <c r="J113" s="25"/>
      <c r="K113" s="658">
        <v>2</v>
      </c>
      <c r="L113" s="384">
        <f>IF(AND(K113&lt;&gt;0,F113&lt;&gt;""),K113,0)</f>
        <v>0</v>
      </c>
      <c r="M113" s="375" t="str">
        <f t="shared" si="1"/>
        <v>An OPTIONAL input field for this RFA</v>
      </c>
    </row>
    <row r="114" spans="1:14" ht="17.399999999999999" customHeight="1">
      <c r="A114" s="16"/>
      <c r="B114" s="16"/>
      <c r="C114" s="1811" t="s">
        <v>252</v>
      </c>
      <c r="D114" s="1811"/>
      <c r="E114" s="1811"/>
      <c r="F114" s="1604"/>
      <c r="G114" s="139" t="s">
        <v>253</v>
      </c>
      <c r="H114" s="1605"/>
      <c r="K114" s="658">
        <v>2</v>
      </c>
      <c r="L114" s="384">
        <f>IF(AND(K114&lt;&gt;0,F114&lt;&gt;""),K114,0)</f>
        <v>0</v>
      </c>
      <c r="M114" s="375" t="str">
        <f t="shared" si="1"/>
        <v>An OPTIONAL input field for this RFA</v>
      </c>
    </row>
    <row r="115" spans="1:14" s="19" customFormat="1" ht="17.399999999999999" customHeight="1">
      <c r="A115" s="100"/>
      <c r="B115" s="100"/>
      <c r="C115" s="1816" t="s">
        <v>254</v>
      </c>
      <c r="D115" s="1816"/>
      <c r="E115" s="1816"/>
      <c r="F115" s="1814"/>
      <c r="G115" s="1815"/>
      <c r="H115" s="1815"/>
      <c r="I115" s="101"/>
      <c r="J115" s="101"/>
      <c r="K115" s="658">
        <v>2</v>
      </c>
      <c r="L115" s="384">
        <f>IF(AND(K115&lt;&gt;0,F115&lt;&gt;""),K115,0)</f>
        <v>0</v>
      </c>
      <c r="M115" s="375" t="str">
        <f t="shared" si="1"/>
        <v>An OPTIONAL input field for this RFA</v>
      </c>
    </row>
    <row r="116" spans="1:14" s="19" customFormat="1" ht="10.5" customHeight="1">
      <c r="A116" s="100"/>
      <c r="B116" s="100"/>
      <c r="C116" s="100"/>
      <c r="D116" s="100"/>
      <c r="E116" s="101"/>
      <c r="F116" s="25"/>
      <c r="G116" s="25"/>
      <c r="H116" s="101"/>
      <c r="I116" s="101"/>
      <c r="J116" s="101"/>
      <c r="K116" s="383"/>
      <c r="L116" s="383"/>
      <c r="M116" s="24"/>
    </row>
    <row r="117" spans="1:14" s="19" customFormat="1" ht="17.399999999999999" hidden="1" customHeight="1">
      <c r="A117" s="100"/>
      <c r="B117" s="121" t="str">
        <f>IF(SUM($K$109:$K$115)=0,"(1)","(2)")</f>
        <v>(2)</v>
      </c>
      <c r="C117" s="1828" t="s">
        <v>255</v>
      </c>
      <c r="D117" s="1828"/>
      <c r="E117" s="1828"/>
      <c r="F117" s="1828"/>
      <c r="G117" s="1828"/>
      <c r="H117" s="1828"/>
      <c r="I117" s="101"/>
      <c r="J117" s="101"/>
      <c r="K117" s="383"/>
      <c r="L117" s="383"/>
      <c r="M117" s="576">
        <v>0</v>
      </c>
    </row>
    <row r="118" spans="1:14" s="19" customFormat="1" ht="37.5" hidden="1" customHeight="1">
      <c r="A118" s="100"/>
      <c r="B118" s="100"/>
      <c r="C118" s="1844" t="s">
        <v>256</v>
      </c>
      <c r="D118" s="1844"/>
      <c r="E118" s="1844"/>
      <c r="F118" s="1844"/>
      <c r="G118" s="1836"/>
      <c r="H118" s="1836"/>
      <c r="I118" s="101"/>
      <c r="J118" s="101"/>
      <c r="K118" s="1421">
        <f>IF(M$117=0,0,N118)</f>
        <v>0</v>
      </c>
      <c r="L118" s="384">
        <f>IF(AND(K118&lt;&gt;0,G118&lt;&gt;""),K118,0)</f>
        <v>0</v>
      </c>
      <c r="M118" s="375" t="str">
        <f>CHOOSE(K118+1,"Not to be included in this RFA","A REQUIRED input field for this RFA","An OPTIONAL input field for this RFA")</f>
        <v>Not to be included in this RFA</v>
      </c>
      <c r="N118" s="588">
        <v>0</v>
      </c>
    </row>
    <row r="119" spans="1:14" s="19" customFormat="1" ht="10.35" hidden="1" customHeight="1">
      <c r="A119" s="100"/>
      <c r="B119" s="100"/>
      <c r="C119" s="100"/>
      <c r="D119" s="100"/>
      <c r="E119" s="101"/>
      <c r="F119" s="101"/>
      <c r="G119" s="101"/>
      <c r="H119" s="142"/>
      <c r="I119" s="101"/>
      <c r="J119" s="101"/>
      <c r="K119" s="383"/>
      <c r="L119" s="383"/>
      <c r="M119" s="24"/>
      <c r="N119" s="1392"/>
    </row>
    <row r="120" spans="1:14" s="19" customFormat="1" ht="30.75" hidden="1" customHeight="1">
      <c r="A120" s="100"/>
      <c r="B120" s="100"/>
      <c r="C120" s="135" t="s">
        <v>224</v>
      </c>
      <c r="D120" s="1828" t="s">
        <v>1090</v>
      </c>
      <c r="E120" s="1828"/>
      <c r="F120" s="1828"/>
      <c r="G120" s="1828"/>
      <c r="H120" s="1828"/>
      <c r="I120" s="178"/>
      <c r="J120" s="643"/>
      <c r="K120" s="1288"/>
      <c r="L120" s="1288"/>
      <c r="M120" s="576">
        <v>0</v>
      </c>
      <c r="N120" s="1392"/>
    </row>
    <row r="121" spans="1:14" s="19" customFormat="1" ht="17.399999999999999" hidden="1" customHeight="1">
      <c r="A121" s="100"/>
      <c r="B121" s="100"/>
      <c r="C121" s="100"/>
      <c r="D121" s="1811" t="s">
        <v>227</v>
      </c>
      <c r="E121" s="1811"/>
      <c r="F121" s="1820"/>
      <c r="G121" s="1820"/>
      <c r="H121" s="1820"/>
      <c r="I121" s="101"/>
      <c r="J121" s="101"/>
      <c r="K121" s="1421">
        <f>IF(M$120=0,0,N121)</f>
        <v>0</v>
      </c>
      <c r="L121" s="384">
        <f>IF(AND(K121&lt;&gt;0,F121&lt;&gt;""),K121,0)</f>
        <v>0</v>
      </c>
      <c r="M121" s="375" t="str">
        <f t="shared" ref="M121:M126" si="2">CHOOSE(K121+1,"Not to be included in this RFA","A REQUIRED input field for this RFA","An OPTIONAL input field for this RFA")</f>
        <v>Not to be included in this RFA</v>
      </c>
      <c r="N121" s="588">
        <v>1</v>
      </c>
    </row>
    <row r="122" spans="1:14" s="19" customFormat="1" ht="17.399999999999999" hidden="1" customHeight="1">
      <c r="A122" s="100"/>
      <c r="B122" s="1842"/>
      <c r="C122" s="1842"/>
      <c r="D122" s="1811" t="s">
        <v>228</v>
      </c>
      <c r="E122" s="1811"/>
      <c r="F122" s="1843"/>
      <c r="G122" s="1843"/>
      <c r="H122" s="1843"/>
      <c r="I122" s="101"/>
      <c r="J122" s="101"/>
      <c r="K122" s="1812">
        <f>IF(M$120=0,0,N122)</f>
        <v>0</v>
      </c>
      <c r="L122" s="1813">
        <f>IF(AND(K122&lt;&gt;0,F122&lt;&gt;""),K122,0)</f>
        <v>0</v>
      </c>
      <c r="M122" s="1821" t="str">
        <f>CHOOSE(K122+1,"Not to be included in this RFA","A REQUIRED input field for this RFA","An OPTIONAL input field for this RFA")</f>
        <v>Not to be included in this RFA</v>
      </c>
      <c r="N122" s="1822">
        <v>1</v>
      </c>
    </row>
    <row r="123" spans="1:14" s="19" customFormat="1" ht="17.399999999999999" hidden="1" customHeight="1">
      <c r="A123" s="100"/>
      <c r="B123" s="1842"/>
      <c r="C123" s="1842"/>
      <c r="D123" s="1811"/>
      <c r="E123" s="1811"/>
      <c r="F123" s="1820"/>
      <c r="G123" s="1820"/>
      <c r="H123" s="1820"/>
      <c r="I123" s="101"/>
      <c r="J123" s="101"/>
      <c r="K123" s="1812"/>
      <c r="L123" s="1813"/>
      <c r="M123" s="1821"/>
      <c r="N123" s="1822"/>
    </row>
    <row r="124" spans="1:14" s="19" customFormat="1" ht="29.4" hidden="1" customHeight="1">
      <c r="A124" s="100"/>
      <c r="B124" s="100"/>
      <c r="C124" s="100"/>
      <c r="D124" s="1811" t="s">
        <v>257</v>
      </c>
      <c r="E124" s="1811"/>
      <c r="F124" s="1598" t="s">
        <v>2</v>
      </c>
      <c r="G124" s="128"/>
      <c r="H124" s="128"/>
      <c r="I124" s="101"/>
      <c r="J124" s="101"/>
      <c r="K124" s="1421">
        <f>IF(M$120=0,0,N124)</f>
        <v>0</v>
      </c>
      <c r="L124" s="384">
        <f>IF(AND(K124&lt;&gt;0,AND(F124&lt;&gt;"&lt;select one&gt;",F124&lt;&gt;"")),K124,0)</f>
        <v>0</v>
      </c>
      <c r="M124" s="375" t="str">
        <f t="shared" si="2"/>
        <v>Not to be included in this RFA</v>
      </c>
      <c r="N124" s="1390">
        <v>1</v>
      </c>
    </row>
    <row r="125" spans="1:14" ht="27" hidden="1" customHeight="1">
      <c r="A125" s="13"/>
      <c r="B125" s="13"/>
      <c r="C125" s="13"/>
      <c r="D125" s="1811" t="s">
        <v>258</v>
      </c>
      <c r="E125" s="1811"/>
      <c r="F125" s="1599"/>
      <c r="G125" s="126"/>
      <c r="H125" s="127"/>
      <c r="I125" s="13"/>
      <c r="J125" s="13"/>
      <c r="K125" s="1421">
        <f>IF(M$120=0,0,N125)</f>
        <v>0</v>
      </c>
      <c r="L125" s="384">
        <f>IF(AND(K125&lt;&gt;0,F125&lt;&gt;""),K125,0)</f>
        <v>0</v>
      </c>
      <c r="M125" s="375" t="str">
        <f t="shared" si="2"/>
        <v>Not to be included in this RFA</v>
      </c>
      <c r="N125" s="1390">
        <v>1</v>
      </c>
    </row>
    <row r="126" spans="1:14" ht="17.399999999999999" hidden="1" customHeight="1">
      <c r="A126" s="13"/>
      <c r="B126" s="13"/>
      <c r="C126" s="13"/>
      <c r="D126" s="1811" t="s">
        <v>229</v>
      </c>
      <c r="E126" s="1811"/>
      <c r="F126" s="1599"/>
      <c r="G126" s="126"/>
      <c r="H126" s="127"/>
      <c r="I126" s="13"/>
      <c r="J126" s="13"/>
      <c r="K126" s="1421">
        <f>IF(M$120=0,0,N126)</f>
        <v>0</v>
      </c>
      <c r="L126" s="384">
        <f>IF(AND(K126&lt;&gt;0,F126&lt;&gt;""),K126,0)</f>
        <v>0</v>
      </c>
      <c r="M126" s="375" t="str">
        <f t="shared" si="2"/>
        <v>Not to be included in this RFA</v>
      </c>
      <c r="N126" s="1390">
        <v>1</v>
      </c>
    </row>
    <row r="127" spans="1:14" s="19" customFormat="1" ht="10.35" hidden="1" customHeight="1">
      <c r="A127" s="24"/>
      <c r="B127" s="24"/>
      <c r="C127" s="24"/>
      <c r="D127" s="24"/>
      <c r="E127" s="26"/>
      <c r="F127" s="101"/>
      <c r="G127" s="27"/>
      <c r="H127" s="101"/>
      <c r="I127" s="24"/>
      <c r="J127" s="24"/>
      <c r="K127" s="383"/>
      <c r="L127" s="383"/>
      <c r="M127" s="24"/>
    </row>
    <row r="128" spans="1:14" s="19" customFormat="1" ht="30" hidden="1" customHeight="1">
      <c r="A128" s="100"/>
      <c r="B128" s="100"/>
      <c r="C128" s="135" t="str">
        <f>IF(SUM($K$121:$K$126)=0,"(a)","(b)")</f>
        <v>(a)</v>
      </c>
      <c r="D128" s="1828" t="s">
        <v>1091</v>
      </c>
      <c r="E128" s="1828"/>
      <c r="F128" s="1828"/>
      <c r="G128" s="1828"/>
      <c r="H128" s="1828"/>
      <c r="I128" s="178"/>
      <c r="J128" s="643"/>
      <c r="K128" s="1288"/>
      <c r="L128" s="1288"/>
      <c r="M128" s="576">
        <v>0</v>
      </c>
    </row>
    <row r="129" spans="1:14" ht="17.399999999999999" hidden="1" customHeight="1">
      <c r="A129" s="13"/>
      <c r="B129" s="13"/>
      <c r="C129" s="13"/>
      <c r="D129" s="1811" t="s">
        <v>227</v>
      </c>
      <c r="E129" s="1811"/>
      <c r="F129" s="1820"/>
      <c r="G129" s="1820"/>
      <c r="H129" s="1820"/>
      <c r="I129" s="13"/>
      <c r="J129" s="13"/>
      <c r="K129" s="1421">
        <f>IF(M$128=0,0,N129)</f>
        <v>0</v>
      </c>
      <c r="L129" s="384">
        <f>IF(AND(K129&lt;&gt;0,F129&lt;&gt;""),K129,0)</f>
        <v>0</v>
      </c>
      <c r="M129" s="375" t="str">
        <f t="shared" ref="M129:M134" si="3">CHOOSE(K129+1,"Not to be included in this RFA","A REQUIRED input field for this RFA","An OPTIONAL input field for this RFA")</f>
        <v>Not to be included in this RFA</v>
      </c>
      <c r="N129" s="588">
        <v>2</v>
      </c>
    </row>
    <row r="130" spans="1:14" ht="17.399999999999999" hidden="1" customHeight="1">
      <c r="A130" s="13"/>
      <c r="B130" s="1841"/>
      <c r="C130" s="1841"/>
      <c r="D130" s="1811" t="s">
        <v>228</v>
      </c>
      <c r="E130" s="1811"/>
      <c r="F130" s="1843"/>
      <c r="G130" s="1843"/>
      <c r="H130" s="1843"/>
      <c r="I130" s="13"/>
      <c r="J130" s="13"/>
      <c r="K130" s="1812">
        <f>IF(M$128=0,0,N130)</f>
        <v>0</v>
      </c>
      <c r="L130" s="1813">
        <f>IF(AND(K130&lt;&gt;0,F130&lt;&gt;""),K130,0)</f>
        <v>0</v>
      </c>
      <c r="M130" s="1821" t="str">
        <f>CHOOSE(K130+1,"Not to be included in this RFA","A REQUIRED input field for this RFA","An OPTIONAL input field for this RFA")</f>
        <v>Not to be included in this RFA</v>
      </c>
      <c r="N130" s="1822">
        <v>2</v>
      </c>
    </row>
    <row r="131" spans="1:14" ht="17.399999999999999" hidden="1" customHeight="1">
      <c r="A131" s="13"/>
      <c r="B131" s="1841"/>
      <c r="C131" s="1841"/>
      <c r="D131" s="1811"/>
      <c r="E131" s="1811"/>
      <c r="F131" s="1820"/>
      <c r="G131" s="1820"/>
      <c r="H131" s="1820"/>
      <c r="I131" s="13"/>
      <c r="J131" s="13"/>
      <c r="K131" s="1812"/>
      <c r="L131" s="1813"/>
      <c r="M131" s="1821"/>
      <c r="N131" s="1822"/>
    </row>
    <row r="132" spans="1:14" ht="29.1" hidden="1" customHeight="1">
      <c r="A132" s="13"/>
      <c r="B132" s="13"/>
      <c r="C132" s="13"/>
      <c r="D132" s="1811" t="s">
        <v>257</v>
      </c>
      <c r="E132" s="1811"/>
      <c r="F132" s="1598" t="s">
        <v>2</v>
      </c>
      <c r="G132" s="128"/>
      <c r="H132" s="128"/>
      <c r="I132" s="13"/>
      <c r="J132" s="13"/>
      <c r="K132" s="1421">
        <f>IF(M$128=0,0,N132)</f>
        <v>0</v>
      </c>
      <c r="L132" s="384">
        <f>IF(AND(K132&lt;&gt;0,AND(F132&lt;&gt;"&lt;select one&gt;",F132&lt;&gt;"")),K132,0)</f>
        <v>0</v>
      </c>
      <c r="M132" s="375" t="str">
        <f t="shared" si="3"/>
        <v>Not to be included in this RFA</v>
      </c>
      <c r="N132" s="1390">
        <v>2</v>
      </c>
    </row>
    <row r="133" spans="1:14" ht="27" hidden="1" customHeight="1">
      <c r="A133" s="13"/>
      <c r="B133" s="13"/>
      <c r="C133" s="13"/>
      <c r="D133" s="1811" t="s">
        <v>258</v>
      </c>
      <c r="E133" s="1811"/>
      <c r="F133" s="1599"/>
      <c r="G133" s="126"/>
      <c r="H133" s="127"/>
      <c r="I133" s="13"/>
      <c r="J133" s="13"/>
      <c r="K133" s="1421">
        <f>IF(M$128=0,0,N133)</f>
        <v>0</v>
      </c>
      <c r="L133" s="384">
        <f>IF(AND(K133&lt;&gt;0,F133&lt;&gt;""),K133,0)</f>
        <v>0</v>
      </c>
      <c r="M133" s="375" t="str">
        <f t="shared" si="3"/>
        <v>Not to be included in this RFA</v>
      </c>
      <c r="N133" s="1390">
        <v>2</v>
      </c>
    </row>
    <row r="134" spans="1:14" s="19" customFormat="1" ht="17.399999999999999" hidden="1" customHeight="1">
      <c r="A134" s="24"/>
      <c r="B134" s="24"/>
      <c r="C134" s="24"/>
      <c r="D134" s="1811" t="s">
        <v>229</v>
      </c>
      <c r="E134" s="1811"/>
      <c r="F134" s="1599"/>
      <c r="G134" s="126"/>
      <c r="H134" s="127"/>
      <c r="I134" s="24"/>
      <c r="J134" s="24"/>
      <c r="K134" s="1421">
        <f>IF(M$128=0,0,N134)</f>
        <v>0</v>
      </c>
      <c r="L134" s="384">
        <f>IF(AND(K134&lt;&gt;0,F134&lt;&gt;""),K134,0)</f>
        <v>0</v>
      </c>
      <c r="M134" s="375" t="str">
        <f t="shared" si="3"/>
        <v>Not to be included in this RFA</v>
      </c>
      <c r="N134" s="1390">
        <v>2</v>
      </c>
    </row>
    <row r="135" spans="1:14" s="19" customFormat="1" ht="10.35" hidden="1" customHeight="1">
      <c r="A135" s="24"/>
      <c r="B135" s="24"/>
      <c r="C135" s="24"/>
      <c r="D135" s="24"/>
      <c r="E135" s="26"/>
      <c r="F135" s="100"/>
      <c r="G135" s="27"/>
      <c r="H135" s="100"/>
      <c r="I135" s="24"/>
      <c r="J135" s="24"/>
      <c r="K135" s="383"/>
      <c r="L135" s="383"/>
      <c r="M135" s="24"/>
    </row>
    <row r="136" spans="1:14" s="19" customFormat="1" ht="17.399999999999999" customHeight="1">
      <c r="A136" s="1178" t="str" cm="1">
        <f t="array" ref="A136">IF($K$138=0,"",CHAR(CODE(LOOKUP(2,1/(COUNTIF(A$27:A135,"&gt;"&amp;A$27:A135&amp;"*")=0),A$27:A135))+1))</f>
        <v>e</v>
      </c>
      <c r="B136" s="1378" t="s">
        <v>1938</v>
      </c>
      <c r="C136" s="24"/>
      <c r="D136" s="24"/>
      <c r="E136" s="26"/>
      <c r="F136" s="100"/>
      <c r="G136" s="1289"/>
      <c r="H136" s="100"/>
      <c r="I136" s="24"/>
      <c r="J136" s="24"/>
      <c r="K136" s="1288"/>
      <c r="L136" s="1288"/>
      <c r="M136" s="24"/>
    </row>
    <row r="137" spans="1:14" s="19" customFormat="1" ht="58.2" customHeight="1">
      <c r="A137" s="94"/>
      <c r="B137" s="94"/>
      <c r="C137" s="1828" t="s">
        <v>1939</v>
      </c>
      <c r="D137" s="1828"/>
      <c r="E137" s="1828"/>
      <c r="F137" s="1828"/>
      <c r="G137" s="1828"/>
      <c r="H137" s="1828"/>
      <c r="I137" s="24"/>
      <c r="J137" s="24"/>
      <c r="K137" s="1370"/>
      <c r="L137" s="1288"/>
      <c r="M137" s="24"/>
    </row>
    <row r="138" spans="1:14" s="19" customFormat="1" ht="17.399999999999999" customHeight="1">
      <c r="A138" s="94"/>
      <c r="B138" s="94"/>
      <c r="C138" s="1836" t="s">
        <v>2</v>
      </c>
      <c r="D138" s="1836"/>
      <c r="E138" s="1836"/>
      <c r="G138" s="101"/>
      <c r="H138" s="101"/>
      <c r="I138" s="24"/>
      <c r="J138" s="24"/>
      <c r="K138" s="588">
        <v>1</v>
      </c>
      <c r="L138" s="1391">
        <f>IF(AND(K138&lt;&gt;0,AND(C138&lt;&gt;"&lt;select one&gt;",C138&lt;&gt;"")),K138,0)</f>
        <v>0</v>
      </c>
      <c r="M138" s="1367" t="str">
        <f t="shared" ref="M138" si="4">CHOOSE(K138+1,"Not to be included in this RFA","A REQUIRED input field for this RFA","An OPTIONAL input field for this RFA")</f>
        <v>A REQUIRED input field for this RFA</v>
      </c>
    </row>
    <row r="139" spans="1:14" s="19" customFormat="1" ht="10.35" customHeight="1">
      <c r="A139" s="94"/>
      <c r="B139" s="94"/>
      <c r="C139" s="94"/>
      <c r="D139" s="94"/>
      <c r="E139" s="26"/>
      <c r="F139" s="101"/>
      <c r="G139" s="1371"/>
      <c r="H139" s="101"/>
      <c r="I139" s="24"/>
      <c r="J139" s="24"/>
      <c r="K139" s="1288"/>
      <c r="L139" s="1288"/>
      <c r="M139" s="24"/>
    </row>
    <row r="140" spans="1:14" ht="14.4" hidden="1" customHeight="1">
      <c r="A140" s="1178" t="str" cm="1">
        <f t="array" ref="A140">IF(SUM($K$141:$K$161)=0,"",CHAR(CODE(LOOKUP(2,1/(COUNTIF(A$27:A139,"&gt;"&amp;A$27:A139&amp;"*")=0),A$27:A139))+1))</f>
        <v/>
      </c>
      <c r="B140" s="1840" t="s">
        <v>1940</v>
      </c>
      <c r="C140" s="1840"/>
      <c r="D140" s="1840"/>
      <c r="E140" s="1840"/>
      <c r="F140" s="1840"/>
      <c r="G140" s="1840"/>
      <c r="H140" s="1840"/>
      <c r="K140" s="384"/>
      <c r="L140" s="384"/>
      <c r="M140" s="576">
        <v>0</v>
      </c>
    </row>
    <row r="141" spans="1:14" hidden="1">
      <c r="A141" s="16"/>
      <c r="B141" s="129" t="s">
        <v>215</v>
      </c>
      <c r="C141" s="1839" t="s">
        <v>259</v>
      </c>
      <c r="D141" s="1839"/>
      <c r="E141" s="1839"/>
      <c r="F141" s="1839"/>
      <c r="G141" s="1839"/>
      <c r="H141" s="1839"/>
      <c r="K141" s="384"/>
      <c r="L141" s="384"/>
      <c r="M141" s="14"/>
    </row>
    <row r="142" spans="1:14" ht="17.399999999999999" hidden="1" customHeight="1">
      <c r="A142" s="16"/>
      <c r="B142" s="16"/>
      <c r="C142" s="1818" t="s">
        <v>260</v>
      </c>
      <c r="D142" s="1818"/>
      <c r="E142" s="1818"/>
      <c r="F142" s="1602"/>
      <c r="G142" s="139" t="s">
        <v>2143</v>
      </c>
      <c r="H142" s="1602"/>
      <c r="I142" s="11"/>
      <c r="J142" s="11"/>
      <c r="K142" s="1421">
        <f t="shared" ref="K142:K150" si="5">IF(M$140=0,0,N142)</f>
        <v>0</v>
      </c>
      <c r="L142" s="384">
        <f>IF(AND(K142&lt;&gt;0,F142&lt;&gt;""),K142,0)</f>
        <v>0</v>
      </c>
      <c r="M142" s="375" t="str">
        <f t="shared" ref="M142:M150" si="6">CHOOSE(K142+1,"Not to be included in this RFA","A REQUIRED input field for this RFA","An OPTIONAL input field for this RFA")</f>
        <v>Not to be included in this RFA</v>
      </c>
      <c r="N142" s="588">
        <v>1</v>
      </c>
    </row>
    <row r="143" spans="1:14" ht="17.399999999999999" hidden="1" customHeight="1">
      <c r="A143" s="16"/>
      <c r="B143" s="16"/>
      <c r="C143" s="1818" t="s">
        <v>261</v>
      </c>
      <c r="D143" s="1818"/>
      <c r="E143" s="1818"/>
      <c r="F143" s="1599"/>
      <c r="G143" s="123"/>
      <c r="H143" s="123"/>
      <c r="J143" s="96"/>
      <c r="K143" s="1421">
        <f t="shared" si="5"/>
        <v>0</v>
      </c>
      <c r="L143" s="384">
        <f>IF(AND(K143&lt;&gt;0,F143&lt;&gt;""),K143,0)</f>
        <v>0</v>
      </c>
      <c r="M143" s="375" t="str">
        <f t="shared" si="6"/>
        <v>Not to be included in this RFA</v>
      </c>
      <c r="N143" s="1390">
        <v>1</v>
      </c>
    </row>
    <row r="144" spans="1:14" ht="17.399999999999999" hidden="1" customHeight="1">
      <c r="A144" s="16"/>
      <c r="B144" s="16"/>
      <c r="C144" s="1818" t="s">
        <v>262</v>
      </c>
      <c r="D144" s="1818"/>
      <c r="E144" s="1818"/>
      <c r="F144" s="1820"/>
      <c r="G144" s="1820"/>
      <c r="H144" s="1820"/>
      <c r="I144" s="11"/>
      <c r="J144" s="11"/>
      <c r="K144" s="1421">
        <f t="shared" si="5"/>
        <v>0</v>
      </c>
      <c r="L144" s="384">
        <f>IF(AND(K144&lt;&gt;0,F144&lt;&gt;""),K144,0)</f>
        <v>0</v>
      </c>
      <c r="M144" s="375" t="str">
        <f t="shared" si="6"/>
        <v>Not to be included in this RFA</v>
      </c>
      <c r="N144" s="1390">
        <v>1</v>
      </c>
    </row>
    <row r="145" spans="1:14" ht="30" hidden="1" customHeight="1">
      <c r="A145" s="16"/>
      <c r="B145" s="16"/>
      <c r="C145" s="1818" t="s">
        <v>248</v>
      </c>
      <c r="D145" s="1818"/>
      <c r="E145" s="1818"/>
      <c r="F145" s="1838"/>
      <c r="G145" s="1838"/>
      <c r="H145" s="1838"/>
      <c r="I145" s="11"/>
      <c r="J145" s="11"/>
      <c r="K145" s="1421">
        <f t="shared" si="5"/>
        <v>0</v>
      </c>
      <c r="L145" s="384">
        <f>IF(AND(K145&lt;&gt;0,F145&lt;&gt;""),K145,0)</f>
        <v>0</v>
      </c>
      <c r="M145" s="375" t="str">
        <f t="shared" si="6"/>
        <v>Not to be included in this RFA</v>
      </c>
      <c r="N145" s="1390">
        <v>1</v>
      </c>
    </row>
    <row r="146" spans="1:14" ht="17.399999999999999" hidden="1" customHeight="1">
      <c r="A146" s="16"/>
      <c r="B146" s="16"/>
      <c r="C146" s="1818" t="s">
        <v>249</v>
      </c>
      <c r="D146" s="1818"/>
      <c r="E146" s="1818"/>
      <c r="F146" s="1599"/>
      <c r="G146" s="124"/>
      <c r="H146" s="125"/>
      <c r="I146" s="11"/>
      <c r="J146" s="11"/>
      <c r="K146" s="1421">
        <f t="shared" si="5"/>
        <v>0</v>
      </c>
      <c r="L146" s="384">
        <f>IF(AND(K146&lt;&gt;0,F146&lt;&gt;""),K146,0)</f>
        <v>0</v>
      </c>
      <c r="M146" s="375" t="str">
        <f t="shared" si="6"/>
        <v>Not to be included in this RFA</v>
      </c>
      <c r="N146" s="1390">
        <v>1</v>
      </c>
    </row>
    <row r="147" spans="1:14" ht="17.399999999999999" hidden="1" customHeight="1">
      <c r="A147" s="16"/>
      <c r="B147" s="16"/>
      <c r="C147" s="1818" t="s">
        <v>250</v>
      </c>
      <c r="D147" s="1818"/>
      <c r="E147" s="1818"/>
      <c r="F147" s="1603" t="s">
        <v>2</v>
      </c>
      <c r="G147" s="124"/>
      <c r="H147" s="125"/>
      <c r="I147" s="11"/>
      <c r="J147" s="11"/>
      <c r="K147" s="1421">
        <f t="shared" si="5"/>
        <v>0</v>
      </c>
      <c r="L147" s="384">
        <f>IF(AND(K147&lt;&gt;0,AND(F147&lt;&gt;"&lt;select one&gt;",F147&lt;&gt;"")),K147,0)</f>
        <v>0</v>
      </c>
      <c r="M147" s="375" t="str">
        <f t="shared" si="6"/>
        <v>Not to be included in this RFA</v>
      </c>
      <c r="N147" s="1390">
        <v>1</v>
      </c>
    </row>
    <row r="148" spans="1:14" ht="17.399999999999999" hidden="1" customHeight="1">
      <c r="A148" s="16"/>
      <c r="B148" s="16"/>
      <c r="C148" s="1818" t="s">
        <v>251</v>
      </c>
      <c r="D148" s="1818"/>
      <c r="E148" s="1818"/>
      <c r="F148" s="1599"/>
      <c r="G148" s="124"/>
      <c r="H148" s="125"/>
      <c r="I148" s="11"/>
      <c r="J148" s="11"/>
      <c r="K148" s="1421">
        <f t="shared" si="5"/>
        <v>0</v>
      </c>
      <c r="L148" s="384">
        <f>IF(AND(K148&lt;&gt;0,F148&lt;&gt;""),K148,0)</f>
        <v>0</v>
      </c>
      <c r="M148" s="375" t="str">
        <f t="shared" si="6"/>
        <v>Not to be included in this RFA</v>
      </c>
      <c r="N148" s="1390">
        <v>1</v>
      </c>
    </row>
    <row r="149" spans="1:14" ht="17.399999999999999" hidden="1" customHeight="1">
      <c r="A149" s="16"/>
      <c r="B149" s="16"/>
      <c r="C149" s="1818" t="s">
        <v>252</v>
      </c>
      <c r="D149" s="1818"/>
      <c r="E149" s="1818"/>
      <c r="F149" s="1604"/>
      <c r="G149" s="139" t="s">
        <v>253</v>
      </c>
      <c r="H149" s="1605"/>
      <c r="I149" s="11"/>
      <c r="J149" s="11"/>
      <c r="K149" s="1421">
        <f t="shared" si="5"/>
        <v>0</v>
      </c>
      <c r="L149" s="384">
        <f>IF(AND(K149&lt;&gt;0,F149&lt;&gt;""),K149,0)</f>
        <v>0</v>
      </c>
      <c r="M149" s="375" t="str">
        <f t="shared" si="6"/>
        <v>Not to be included in this RFA</v>
      </c>
      <c r="N149" s="1390">
        <v>1</v>
      </c>
    </row>
    <row r="150" spans="1:14" ht="17.399999999999999" hidden="1" customHeight="1">
      <c r="A150" s="16"/>
      <c r="B150" s="16"/>
      <c r="C150" s="1837" t="s">
        <v>254</v>
      </c>
      <c r="D150" s="1837"/>
      <c r="E150" s="1837"/>
      <c r="F150" s="1851"/>
      <c r="G150" s="1820"/>
      <c r="H150" s="1820"/>
      <c r="I150" s="11"/>
      <c r="J150" s="11"/>
      <c r="K150" s="1421">
        <f t="shared" si="5"/>
        <v>0</v>
      </c>
      <c r="L150" s="384">
        <f>IF(AND(K150&lt;&gt;0,F150&lt;&gt;""),K150,0)</f>
        <v>0</v>
      </c>
      <c r="M150" s="375" t="str">
        <f t="shared" si="6"/>
        <v>Not to be included in this RFA</v>
      </c>
      <c r="N150" s="1390">
        <v>1</v>
      </c>
    </row>
    <row r="151" spans="1:14" s="16" customFormat="1" hidden="1">
      <c r="E151" s="147"/>
      <c r="F151" s="73"/>
      <c r="G151" s="72"/>
      <c r="H151" s="71"/>
      <c r="I151" s="11"/>
      <c r="J151" s="11"/>
      <c r="K151" s="383"/>
      <c r="L151" s="383"/>
      <c r="M151" s="146"/>
      <c r="N151" s="1392"/>
    </row>
    <row r="152" spans="1:14" hidden="1">
      <c r="A152" s="16"/>
      <c r="B152" s="130" t="str">
        <f>IF(SUM($K$142:$K$150)=0,"(1)","(2)")</f>
        <v>(1)</v>
      </c>
      <c r="C152" s="1821" t="s">
        <v>263</v>
      </c>
      <c r="D152" s="1821"/>
      <c r="E152" s="1821"/>
      <c r="F152" s="1821"/>
      <c r="G152" s="1821"/>
      <c r="H152" s="1821"/>
      <c r="K152" s="384"/>
      <c r="L152" s="384"/>
      <c r="N152" s="1391"/>
    </row>
    <row r="153" spans="1:14" s="11" customFormat="1" ht="17.399999999999999" hidden="1" customHeight="1">
      <c r="C153" s="1818" t="s">
        <v>260</v>
      </c>
      <c r="D153" s="1818"/>
      <c r="E153" s="1818"/>
      <c r="F153" s="1602"/>
      <c r="G153" s="139" t="s">
        <v>2143</v>
      </c>
      <c r="H153" s="1602"/>
      <c r="K153" s="1421">
        <f t="shared" ref="K153:K161" si="7">IF(M$140=0,0,N153)</f>
        <v>0</v>
      </c>
      <c r="L153" s="384">
        <f>IF(AND(K153&lt;&gt;0,F153&lt;&gt;""),K153,0)</f>
        <v>0</v>
      </c>
      <c r="M153" s="375" t="str">
        <f t="shared" ref="M153:M161" si="8">CHOOSE(K153+1,"Not to be included in this RFA","A REQUIRED input field for this RFA","An OPTIONAL input field for this RFA")</f>
        <v>Not to be included in this RFA</v>
      </c>
      <c r="N153" s="588">
        <v>2</v>
      </c>
    </row>
    <row r="154" spans="1:14" s="11" customFormat="1" ht="17.399999999999999" hidden="1" customHeight="1">
      <c r="C154" s="1818" t="s">
        <v>261</v>
      </c>
      <c r="D154" s="1818"/>
      <c r="E154" s="1818"/>
      <c r="F154" s="1599"/>
      <c r="G154" s="122"/>
      <c r="H154" s="122"/>
      <c r="J154" s="96"/>
      <c r="K154" s="1421">
        <f t="shared" si="7"/>
        <v>0</v>
      </c>
      <c r="L154" s="384">
        <f>IF(AND(K154&lt;&gt;0,F154&lt;&gt;""),K154,0)</f>
        <v>0</v>
      </c>
      <c r="M154" s="375" t="str">
        <f t="shared" si="8"/>
        <v>Not to be included in this RFA</v>
      </c>
      <c r="N154" s="1390">
        <v>2</v>
      </c>
    </row>
    <row r="155" spans="1:14" s="11" customFormat="1" ht="17.399999999999999" hidden="1" customHeight="1">
      <c r="C155" s="1818" t="s">
        <v>262</v>
      </c>
      <c r="D155" s="1818"/>
      <c r="E155" s="1818"/>
      <c r="F155" s="1820"/>
      <c r="G155" s="1820"/>
      <c r="H155" s="1820"/>
      <c r="K155" s="1421">
        <f t="shared" si="7"/>
        <v>0</v>
      </c>
      <c r="L155" s="384">
        <f>IF(AND(K155&lt;&gt;0,F155&lt;&gt;""),K155,0)</f>
        <v>0</v>
      </c>
      <c r="M155" s="375" t="str">
        <f t="shared" si="8"/>
        <v>Not to be included in this RFA</v>
      </c>
      <c r="N155" s="1390">
        <v>2</v>
      </c>
    </row>
    <row r="156" spans="1:14" s="11" customFormat="1" ht="30.75" hidden="1" customHeight="1">
      <c r="C156" s="1818" t="s">
        <v>248</v>
      </c>
      <c r="D156" s="1818"/>
      <c r="E156" s="1818"/>
      <c r="F156" s="1838"/>
      <c r="G156" s="1838"/>
      <c r="H156" s="1838"/>
      <c r="K156" s="1421">
        <f t="shared" si="7"/>
        <v>0</v>
      </c>
      <c r="L156" s="384">
        <f>IF(AND(K156&lt;&gt;0,F156&lt;&gt;""),K156,0)</f>
        <v>0</v>
      </c>
      <c r="M156" s="375" t="str">
        <f t="shared" si="8"/>
        <v>Not to be included in this RFA</v>
      </c>
      <c r="N156" s="1390">
        <v>2</v>
      </c>
    </row>
    <row r="157" spans="1:14" s="11" customFormat="1" ht="17.399999999999999" hidden="1" customHeight="1">
      <c r="C157" s="1818" t="s">
        <v>249</v>
      </c>
      <c r="D157" s="1818"/>
      <c r="E157" s="1818"/>
      <c r="F157" s="1599"/>
      <c r="G157" s="122"/>
      <c r="H157" s="122"/>
      <c r="K157" s="1421">
        <f t="shared" si="7"/>
        <v>0</v>
      </c>
      <c r="L157" s="384">
        <f>IF(AND(K157&lt;&gt;0,F157&lt;&gt;""),K157,0)</f>
        <v>0</v>
      </c>
      <c r="M157" s="375" t="str">
        <f t="shared" si="8"/>
        <v>Not to be included in this RFA</v>
      </c>
      <c r="N157" s="1390">
        <v>2</v>
      </c>
    </row>
    <row r="158" spans="1:14" s="11" customFormat="1" ht="17.399999999999999" hidden="1" customHeight="1">
      <c r="C158" s="1818" t="s">
        <v>250</v>
      </c>
      <c r="D158" s="1818"/>
      <c r="E158" s="1818"/>
      <c r="F158" s="1603" t="s">
        <v>2</v>
      </c>
      <c r="G158" s="122"/>
      <c r="H158" s="122"/>
      <c r="K158" s="1421">
        <f t="shared" si="7"/>
        <v>0</v>
      </c>
      <c r="L158" s="384">
        <f>IF(AND(K158&lt;&gt;0,AND(F158&lt;&gt;"&lt;select one&gt;",F158&lt;&gt;"")),K158,0)</f>
        <v>0</v>
      </c>
      <c r="M158" s="375" t="str">
        <f t="shared" si="8"/>
        <v>Not to be included in this RFA</v>
      </c>
      <c r="N158" s="1390">
        <v>2</v>
      </c>
    </row>
    <row r="159" spans="1:14" s="11" customFormat="1" ht="17.399999999999999" hidden="1" customHeight="1">
      <c r="C159" s="1818" t="s">
        <v>251</v>
      </c>
      <c r="D159" s="1818"/>
      <c r="E159" s="1818"/>
      <c r="F159" s="1599"/>
      <c r="G159" s="122"/>
      <c r="H159" s="122"/>
      <c r="K159" s="1421">
        <f t="shared" si="7"/>
        <v>0</v>
      </c>
      <c r="L159" s="384">
        <f>IF(AND(K159&lt;&gt;0,F159&lt;&gt;""),K159,0)</f>
        <v>0</v>
      </c>
      <c r="M159" s="375" t="str">
        <f t="shared" si="8"/>
        <v>Not to be included in this RFA</v>
      </c>
      <c r="N159" s="1390">
        <v>2</v>
      </c>
    </row>
    <row r="160" spans="1:14" s="11" customFormat="1" ht="17.399999999999999" hidden="1" customHeight="1">
      <c r="C160" s="1818" t="s">
        <v>252</v>
      </c>
      <c r="D160" s="1818"/>
      <c r="E160" s="1818"/>
      <c r="F160" s="1604"/>
      <c r="G160" s="139" t="s">
        <v>253</v>
      </c>
      <c r="H160" s="1605"/>
      <c r="K160" s="1421">
        <f t="shared" si="7"/>
        <v>0</v>
      </c>
      <c r="L160" s="384">
        <f>IF(AND(K160&lt;&gt;0,F160&lt;&gt;""),K160,0)</f>
        <v>0</v>
      </c>
      <c r="M160" s="375" t="str">
        <f t="shared" si="8"/>
        <v>Not to be included in this RFA</v>
      </c>
      <c r="N160" s="1390">
        <v>2</v>
      </c>
    </row>
    <row r="161" spans="1:14" s="11" customFormat="1" ht="17.399999999999999" hidden="1" customHeight="1">
      <c r="C161" s="1837" t="s">
        <v>254</v>
      </c>
      <c r="D161" s="1837"/>
      <c r="E161" s="1837"/>
      <c r="F161" s="1820"/>
      <c r="G161" s="1820"/>
      <c r="H161" s="1820"/>
      <c r="K161" s="1421">
        <f t="shared" si="7"/>
        <v>0</v>
      </c>
      <c r="L161" s="384">
        <f>IF(AND(K161&lt;&gt;0,F161&lt;&gt;""),K161,0)</f>
        <v>0</v>
      </c>
      <c r="M161" s="375" t="str">
        <f t="shared" si="8"/>
        <v>Not to be included in this RFA</v>
      </c>
      <c r="N161" s="1390">
        <v>2</v>
      </c>
    </row>
    <row r="162" spans="1:14" s="11" customFormat="1" ht="10.35" hidden="1" customHeight="1">
      <c r="E162" s="28"/>
      <c r="F162" s="99"/>
      <c r="G162" s="147"/>
      <c r="H162" s="147"/>
    </row>
    <row r="163" spans="1:14" s="11" customFormat="1" ht="17.399999999999999" customHeight="1">
      <c r="A163" s="1178" t="str" cm="1">
        <f t="array" ref="A163">IF($K$165=0,"",CHAR(CODE(LOOKUP(2,1/(COUNTIF(A$27:A162,"&gt;"&amp;A$27:A162&amp;"*")=0),A$27:A162))+1))</f>
        <v>f</v>
      </c>
      <c r="B163" s="1840" t="s">
        <v>1962</v>
      </c>
      <c r="C163" s="1840"/>
      <c r="D163" s="1840"/>
      <c r="E163" s="1840"/>
      <c r="F163" s="1840"/>
      <c r="G163" s="1840"/>
      <c r="H163" s="1840"/>
    </row>
    <row r="164" spans="1:14" ht="17.399999999999999" customHeight="1">
      <c r="C164" s="1386" t="s">
        <v>1963</v>
      </c>
      <c r="K164" s="1393"/>
    </row>
    <row r="165" spans="1:14" ht="17.399999999999999" customHeight="1">
      <c r="C165" s="1836" t="s">
        <v>2</v>
      </c>
      <c r="D165" s="1836"/>
      <c r="E165" s="1836"/>
      <c r="K165" s="588">
        <v>1</v>
      </c>
      <c r="L165" s="1391">
        <f>IF(AND(K165&lt;&gt;0,AND(C165&lt;&gt;"&lt;select one&gt;",C165&lt;&gt;"")),K165,0)</f>
        <v>0</v>
      </c>
      <c r="M165" s="1389" t="str">
        <f t="shared" ref="M165" si="9">CHOOSE(K165+1,"Not to be included in this RFA","A REQUIRED input field for this RFA","An OPTIONAL input field for this RFA")</f>
        <v>A REQUIRED input field for this RFA</v>
      </c>
    </row>
    <row r="166" spans="1:14" ht="17.399999999999999" customHeight="1">
      <c r="D166" s="14" t="s">
        <v>1964</v>
      </c>
    </row>
  </sheetData>
  <sheetProtection algorithmName="SHA-512" hashValue="A2PkZjv/DdDXrYoG0CuFTguuqsUU9EkiUGaARWneP32ayTm0f0n6TBS0UchqqS0pT1DCTmy9RJM0NlArqfRiBg==" saltValue="p5lOKGLTCHz8FVmu8HuEJA==" spinCount="100000" sheet="1" formatRows="0" selectLockedCells="1"/>
  <mergeCells count="170">
    <mergeCell ref="B163:H163"/>
    <mergeCell ref="C165:E165"/>
    <mergeCell ref="N75:N76"/>
    <mergeCell ref="N84:N85"/>
    <mergeCell ref="N122:N123"/>
    <mergeCell ref="N130:N131"/>
    <mergeCell ref="D45:H45"/>
    <mergeCell ref="D20:H20"/>
    <mergeCell ref="D21:H21"/>
    <mergeCell ref="D22:H22"/>
    <mergeCell ref="D23:H23"/>
    <mergeCell ref="D103:E103"/>
    <mergeCell ref="C95:H95"/>
    <mergeCell ref="C98:H98"/>
    <mergeCell ref="C101:H101"/>
    <mergeCell ref="F129:H129"/>
    <mergeCell ref="F155:H155"/>
    <mergeCell ref="F156:H156"/>
    <mergeCell ref="F130:H131"/>
    <mergeCell ref="F150:H150"/>
    <mergeCell ref="C109:E109"/>
    <mergeCell ref="C110:E110"/>
    <mergeCell ref="C111:E111"/>
    <mergeCell ref="C152:H152"/>
    <mergeCell ref="D15:H15"/>
    <mergeCell ref="A1:H2"/>
    <mergeCell ref="D91:H91"/>
    <mergeCell ref="F84:H85"/>
    <mergeCell ref="F75:H76"/>
    <mergeCell ref="B12:H12"/>
    <mergeCell ref="D44:H44"/>
    <mergeCell ref="D47:H47"/>
    <mergeCell ref="D49:H49"/>
    <mergeCell ref="G62:H62"/>
    <mergeCell ref="F66:H67"/>
    <mergeCell ref="G61:H61"/>
    <mergeCell ref="G77:H77"/>
    <mergeCell ref="G86:H86"/>
    <mergeCell ref="G68:H68"/>
    <mergeCell ref="G80:H80"/>
    <mergeCell ref="G89:H89"/>
    <mergeCell ref="D61:F61"/>
    <mergeCell ref="G70:H70"/>
    <mergeCell ref="A6:H6"/>
    <mergeCell ref="A4:H4"/>
    <mergeCell ref="A8:H8"/>
    <mergeCell ref="A25:H25"/>
    <mergeCell ref="A10:E10"/>
    <mergeCell ref="C146:E146"/>
    <mergeCell ref="C117:H117"/>
    <mergeCell ref="G118:H118"/>
    <mergeCell ref="F121:H121"/>
    <mergeCell ref="C145:E145"/>
    <mergeCell ref="D122:E123"/>
    <mergeCell ref="C144:E144"/>
    <mergeCell ref="D126:E126"/>
    <mergeCell ref="D128:H128"/>
    <mergeCell ref="C141:H141"/>
    <mergeCell ref="B140:H140"/>
    <mergeCell ref="B130:C131"/>
    <mergeCell ref="D129:E129"/>
    <mergeCell ref="B122:C123"/>
    <mergeCell ref="F122:H123"/>
    <mergeCell ref="C118:F118"/>
    <mergeCell ref="D120:H120"/>
    <mergeCell ref="D121:E121"/>
    <mergeCell ref="D124:E124"/>
    <mergeCell ref="D125:E125"/>
    <mergeCell ref="C142:E142"/>
    <mergeCell ref="C143:E143"/>
    <mergeCell ref="F28:H28"/>
    <mergeCell ref="C32:H32"/>
    <mergeCell ref="C159:E159"/>
    <mergeCell ref="C160:E160"/>
    <mergeCell ref="C161:E161"/>
    <mergeCell ref="C153:E153"/>
    <mergeCell ref="C154:E154"/>
    <mergeCell ref="C155:E155"/>
    <mergeCell ref="C156:E156"/>
    <mergeCell ref="C157:E157"/>
    <mergeCell ref="D130:E131"/>
    <mergeCell ref="D132:E132"/>
    <mergeCell ref="D133:E133"/>
    <mergeCell ref="D134:E134"/>
    <mergeCell ref="C148:E148"/>
    <mergeCell ref="C137:H137"/>
    <mergeCell ref="C138:E138"/>
    <mergeCell ref="F161:H161"/>
    <mergeCell ref="F144:H144"/>
    <mergeCell ref="F145:H145"/>
    <mergeCell ref="C158:E158"/>
    <mergeCell ref="C149:E149"/>
    <mergeCell ref="C147:E147"/>
    <mergeCell ref="C150:E150"/>
    <mergeCell ref="C106:H106"/>
    <mergeCell ref="E92:H92"/>
    <mergeCell ref="D99:H99"/>
    <mergeCell ref="D96:H96"/>
    <mergeCell ref="D102:H102"/>
    <mergeCell ref="D60:H60"/>
    <mergeCell ref="D14:H14"/>
    <mergeCell ref="B17:H17"/>
    <mergeCell ref="D19:H19"/>
    <mergeCell ref="E64:H64"/>
    <mergeCell ref="F74:H74"/>
    <mergeCell ref="F83:H83"/>
    <mergeCell ref="E73:H73"/>
    <mergeCell ref="E82:H82"/>
    <mergeCell ref="D62:F62"/>
    <mergeCell ref="G71:H71"/>
    <mergeCell ref="F65:H65"/>
    <mergeCell ref="C52:H52"/>
    <mergeCell ref="C34:H34"/>
    <mergeCell ref="B27:H27"/>
    <mergeCell ref="B51:H51"/>
    <mergeCell ref="C57:H57"/>
    <mergeCell ref="D35:H35"/>
    <mergeCell ref="D36:E36"/>
    <mergeCell ref="D53:H53"/>
    <mergeCell ref="D54:H54"/>
    <mergeCell ref="D55:H55"/>
    <mergeCell ref="C59:G59"/>
    <mergeCell ref="G88:H88"/>
    <mergeCell ref="G79:H79"/>
    <mergeCell ref="C65:E65"/>
    <mergeCell ref="C66:E67"/>
    <mergeCell ref="C68:E69"/>
    <mergeCell ref="C70:E70"/>
    <mergeCell ref="C71:E71"/>
    <mergeCell ref="C74:E74"/>
    <mergeCell ref="C75:E76"/>
    <mergeCell ref="C80:E80"/>
    <mergeCell ref="C83:E83"/>
    <mergeCell ref="C84:E85"/>
    <mergeCell ref="C86:E87"/>
    <mergeCell ref="C88:E88"/>
    <mergeCell ref="C79:E79"/>
    <mergeCell ref="M130:M131"/>
    <mergeCell ref="M66:M67"/>
    <mergeCell ref="M75:M76"/>
    <mergeCell ref="M84:M85"/>
    <mergeCell ref="M122:M123"/>
    <mergeCell ref="K66:K67"/>
    <mergeCell ref="K75:K76"/>
    <mergeCell ref="K84:K85"/>
    <mergeCell ref="K8:U9"/>
    <mergeCell ref="C89:E89"/>
    <mergeCell ref="K122:K123"/>
    <mergeCell ref="K130:K131"/>
    <mergeCell ref="L66:L67"/>
    <mergeCell ref="L75:L76"/>
    <mergeCell ref="L84:L85"/>
    <mergeCell ref="L122:L123"/>
    <mergeCell ref="L130:L131"/>
    <mergeCell ref="F115:H115"/>
    <mergeCell ref="C115:E115"/>
    <mergeCell ref="F110:H110"/>
    <mergeCell ref="C113:E113"/>
    <mergeCell ref="C107:E107"/>
    <mergeCell ref="C108:E108"/>
    <mergeCell ref="F109:H109"/>
    <mergeCell ref="F111:H111"/>
    <mergeCell ref="C114:E114"/>
    <mergeCell ref="B105:H105"/>
    <mergeCell ref="C77:E78"/>
    <mergeCell ref="B94:H94"/>
    <mergeCell ref="F69:H69"/>
    <mergeCell ref="F78:H78"/>
    <mergeCell ref="F87:H87"/>
    <mergeCell ref="C112:E112"/>
  </mergeCells>
  <conditionalFormatting sqref="F10">
    <cfRule type="cellIs" dxfId="603" priority="99" stopIfTrue="1" operator="equal">
      <formula>""</formula>
    </cfRule>
    <cfRule type="cellIs" dxfId="602" priority="100" operator="notEqual">
      <formula>"&lt;select one&gt;"</formula>
    </cfRule>
  </conditionalFormatting>
  <conditionalFormatting sqref="F28:H28">
    <cfRule type="cellIs" dxfId="601" priority="102" operator="notEqual">
      <formula>""</formula>
    </cfRule>
  </conditionalFormatting>
  <conditionalFormatting sqref="G61:H61">
    <cfRule type="cellIs" dxfId="600" priority="108" operator="notEqual">
      <formula>""</formula>
    </cfRule>
  </conditionalFormatting>
  <conditionalFormatting sqref="G62:H62">
    <cfRule type="cellIs" dxfId="599" priority="109" operator="notEqual">
      <formula>""</formula>
    </cfRule>
  </conditionalFormatting>
  <conditionalFormatting sqref="F65:H65">
    <cfRule type="cellIs" dxfId="598" priority="110" operator="notEqual">
      <formula>""</formula>
    </cfRule>
  </conditionalFormatting>
  <conditionalFormatting sqref="F66:H67">
    <cfRule type="cellIs" dxfId="597" priority="111" operator="notEqual">
      <formula>""</formula>
    </cfRule>
  </conditionalFormatting>
  <conditionalFormatting sqref="F69">
    <cfRule type="cellIs" dxfId="596" priority="115" operator="notEqual">
      <formula>""</formula>
    </cfRule>
  </conditionalFormatting>
  <conditionalFormatting sqref="F74:H74">
    <cfRule type="cellIs" dxfId="595" priority="123" operator="notEqual">
      <formula>""</formula>
    </cfRule>
  </conditionalFormatting>
  <conditionalFormatting sqref="F83:H83">
    <cfRule type="cellIs" dxfId="594" priority="137" operator="notEqual">
      <formula>""</formula>
    </cfRule>
  </conditionalFormatting>
  <conditionalFormatting sqref="F75:H76">
    <cfRule type="cellIs" dxfId="593" priority="127" operator="notEqual">
      <formula>""</formula>
    </cfRule>
  </conditionalFormatting>
  <conditionalFormatting sqref="F84:H85">
    <cfRule type="cellIs" dxfId="592" priority="138" operator="notEqual">
      <formula>""</formula>
    </cfRule>
  </conditionalFormatting>
  <conditionalFormatting sqref="F70">
    <cfRule type="cellIs" dxfId="591" priority="118" operator="notEqual">
      <formula>""</formula>
    </cfRule>
  </conditionalFormatting>
  <conditionalFormatting sqref="F71">
    <cfRule type="expression" dxfId="590" priority="11">
      <formula>AND(F71&lt;&gt;"",OR(N(F71)&gt;YEAR(NOW())))</formula>
    </cfRule>
    <cfRule type="cellIs" dxfId="589" priority="122" operator="notEqual">
      <formula>""</formula>
    </cfRule>
  </conditionalFormatting>
  <conditionalFormatting sqref="F79">
    <cfRule type="cellIs" dxfId="588" priority="130" operator="notEqual">
      <formula>""</formula>
    </cfRule>
  </conditionalFormatting>
  <conditionalFormatting sqref="F88">
    <cfRule type="cellIs" dxfId="587" priority="149" operator="notEqual">
      <formula>""</formula>
    </cfRule>
  </conditionalFormatting>
  <conditionalFormatting sqref="F109:H111 F115:H115 F113:F114 H114">
    <cfRule type="cellIs" dxfId="586" priority="164" operator="notEqual">
      <formula>""</formula>
    </cfRule>
  </conditionalFormatting>
  <conditionalFormatting sqref="F121:H121">
    <cfRule type="cellIs" dxfId="585" priority="78" operator="notEqual">
      <formula>""</formula>
    </cfRule>
  </conditionalFormatting>
  <conditionalFormatting sqref="F124">
    <cfRule type="cellIs" dxfId="584" priority="173" operator="notEqual">
      <formula>"&lt;select one&gt;"</formula>
    </cfRule>
  </conditionalFormatting>
  <conditionalFormatting sqref="F129:H129">
    <cfRule type="cellIs" dxfId="583" priority="181" operator="notEqual">
      <formula>""</formula>
    </cfRule>
  </conditionalFormatting>
  <conditionalFormatting sqref="F144:H144">
    <cfRule type="cellIs" dxfId="582" priority="193" operator="notEqual">
      <formula>""</formula>
    </cfRule>
  </conditionalFormatting>
  <conditionalFormatting sqref="F155:H155">
    <cfRule type="cellIs" dxfId="581" priority="205" operator="notEqual">
      <formula>""</formula>
    </cfRule>
  </conditionalFormatting>
  <conditionalFormatting sqref="F122:H123">
    <cfRule type="cellIs" dxfId="580" priority="169" operator="notEqual">
      <formula>""</formula>
    </cfRule>
  </conditionalFormatting>
  <conditionalFormatting sqref="F130:H131">
    <cfRule type="cellIs" dxfId="579" priority="182" operator="notEqual">
      <formula>""</formula>
    </cfRule>
  </conditionalFormatting>
  <conditionalFormatting sqref="F125">
    <cfRule type="cellIs" dxfId="578" priority="175" operator="notEqual">
      <formula>""</formula>
    </cfRule>
  </conditionalFormatting>
  <conditionalFormatting sqref="F126">
    <cfRule type="cellIs" dxfId="577" priority="176" operator="notEqual">
      <formula>""</formula>
    </cfRule>
  </conditionalFormatting>
  <conditionalFormatting sqref="F133">
    <cfRule type="cellIs" dxfId="576" priority="184" operator="notEqual">
      <formula>""</formula>
    </cfRule>
  </conditionalFormatting>
  <conditionalFormatting sqref="F134">
    <cfRule type="cellIs" dxfId="575" priority="185" operator="notEqual">
      <formula>""</formula>
    </cfRule>
  </conditionalFormatting>
  <conditionalFormatting sqref="F142">
    <cfRule type="cellIs" dxfId="574" priority="189" operator="notEqual">
      <formula>""</formula>
    </cfRule>
  </conditionalFormatting>
  <conditionalFormatting sqref="F143">
    <cfRule type="cellIs" dxfId="573" priority="192" operator="notEqual">
      <formula>""</formula>
    </cfRule>
  </conditionalFormatting>
  <conditionalFormatting sqref="F146">
    <cfRule type="cellIs" dxfId="572" priority="195" operator="notEqual">
      <formula>""</formula>
    </cfRule>
  </conditionalFormatting>
  <conditionalFormatting sqref="F148">
    <cfRule type="cellIs" dxfId="571" priority="197" operator="notEqual">
      <formula>""</formula>
    </cfRule>
  </conditionalFormatting>
  <conditionalFormatting sqref="F150">
    <cfRule type="cellIs" dxfId="570" priority="199" operator="notEqual">
      <formula>""</formula>
    </cfRule>
  </conditionalFormatting>
  <conditionalFormatting sqref="F153">
    <cfRule type="cellIs" dxfId="569" priority="202" operator="notEqual">
      <formula>""</formula>
    </cfRule>
  </conditionalFormatting>
  <conditionalFormatting sqref="F154">
    <cfRule type="cellIs" dxfId="568" priority="204" operator="notEqual">
      <formula>""</formula>
    </cfRule>
  </conditionalFormatting>
  <conditionalFormatting sqref="F157">
    <cfRule type="cellIs" dxfId="567" priority="207" operator="notEqual">
      <formula>""</formula>
    </cfRule>
  </conditionalFormatting>
  <conditionalFormatting sqref="F159">
    <cfRule type="cellIs" dxfId="566" priority="209" operator="notEqual">
      <formula>""</formula>
    </cfRule>
  </conditionalFormatting>
  <conditionalFormatting sqref="F145:H145">
    <cfRule type="cellIs" dxfId="565" priority="194" operator="notEqual">
      <formula>""</formula>
    </cfRule>
  </conditionalFormatting>
  <conditionalFormatting sqref="F156:H156">
    <cfRule type="cellIs" dxfId="564" priority="206" operator="notEqual">
      <formula>""</formula>
    </cfRule>
  </conditionalFormatting>
  <conditionalFormatting sqref="G118:H118">
    <cfRule type="cellIs" dxfId="563" priority="75" operator="notEqual">
      <formula>""</formula>
    </cfRule>
  </conditionalFormatting>
  <conditionalFormatting sqref="D36">
    <cfRule type="cellIs" dxfId="562" priority="106" operator="notEqual">
      <formula>"&lt;select one&gt;"</formula>
    </cfRule>
  </conditionalFormatting>
  <conditionalFormatting sqref="D103">
    <cfRule type="cellIs" dxfId="561" priority="160" operator="notEqual">
      <formula>"&lt;select one&gt;"</formula>
    </cfRule>
  </conditionalFormatting>
  <conditionalFormatting sqref="F149 H149">
    <cfRule type="cellIs" dxfId="560" priority="198" operator="notEqual">
      <formula>""</formula>
    </cfRule>
  </conditionalFormatting>
  <conditionalFormatting sqref="F160 H160">
    <cfRule type="cellIs" dxfId="559" priority="212" operator="notEqual">
      <formula>""</formula>
    </cfRule>
  </conditionalFormatting>
  <conditionalFormatting sqref="F158">
    <cfRule type="cellIs" dxfId="558" priority="208" operator="notEqual">
      <formula>"&lt;select one&gt;"</formula>
    </cfRule>
  </conditionalFormatting>
  <conditionalFormatting sqref="F132">
    <cfRule type="cellIs" dxfId="557" priority="183" operator="notEqual">
      <formula>"&lt;select one&gt;"</formula>
    </cfRule>
  </conditionalFormatting>
  <conditionalFormatting sqref="F147">
    <cfRule type="cellIs" dxfId="556" priority="196" operator="notEqual">
      <formula>"&lt;select one&gt;"</formula>
    </cfRule>
  </conditionalFormatting>
  <conditionalFormatting sqref="F112">
    <cfRule type="cellIs" dxfId="555" priority="166" operator="notEqual">
      <formula>"&lt;select one&gt;"</formula>
    </cfRule>
  </conditionalFormatting>
  <conditionalFormatting sqref="H142">
    <cfRule type="cellIs" dxfId="554" priority="190" operator="notEqual">
      <formula>""</formula>
    </cfRule>
  </conditionalFormatting>
  <conditionalFormatting sqref="F161:H161">
    <cfRule type="cellIs" dxfId="553" priority="213" operator="notEqual">
      <formula>""</formula>
    </cfRule>
  </conditionalFormatting>
  <conditionalFormatting sqref="D53:H55">
    <cfRule type="cellIs" dxfId="552" priority="107" operator="notEqual">
      <formula>""</formula>
    </cfRule>
  </conditionalFormatting>
  <conditionalFormatting sqref="H153">
    <cfRule type="cellIs" dxfId="551" priority="203" operator="notEqual">
      <formula>""</formula>
    </cfRule>
  </conditionalFormatting>
  <conditionalFormatting sqref="G30">
    <cfRule type="cellIs" dxfId="550" priority="104" operator="notEqual">
      <formula>"&lt;select one&gt;"</formula>
    </cfRule>
  </conditionalFormatting>
  <conditionalFormatting sqref="B30:H31">
    <cfRule type="expression" dxfId="549" priority="103">
      <formula>$K$30=0</formula>
    </cfRule>
  </conditionalFormatting>
  <conditionalFormatting sqref="B34:H45">
    <cfRule type="expression" dxfId="548" priority="105">
      <formula>$K$36=0</formula>
    </cfRule>
  </conditionalFormatting>
  <conditionalFormatting sqref="B91:H93">
    <cfRule type="expression" dxfId="547" priority="151">
      <formula>$M$91=0</formula>
    </cfRule>
  </conditionalFormatting>
  <conditionalFormatting sqref="B101:H104">
    <cfRule type="expression" dxfId="546" priority="152">
      <formula>$K$103=0</formula>
    </cfRule>
  </conditionalFormatting>
  <conditionalFormatting sqref="F68">
    <cfRule type="cellIs" dxfId="545" priority="113" operator="notEqual">
      <formula>"&lt;select one&gt;"</formula>
    </cfRule>
  </conditionalFormatting>
  <conditionalFormatting sqref="F78">
    <cfRule type="cellIs" dxfId="544" priority="129" operator="notEqual">
      <formula>""</formula>
    </cfRule>
  </conditionalFormatting>
  <conditionalFormatting sqref="F77">
    <cfRule type="cellIs" dxfId="543" priority="128" operator="notEqual">
      <formula>"&lt;select one&gt;"</formula>
    </cfRule>
  </conditionalFormatting>
  <conditionalFormatting sqref="F87">
    <cfRule type="cellIs" dxfId="542" priority="140" operator="notEqual">
      <formula>""</formula>
    </cfRule>
  </conditionalFormatting>
  <conditionalFormatting sqref="F86">
    <cfRule type="cellIs" dxfId="541" priority="139" operator="notEqual">
      <formula>"&lt;select one&gt;"</formula>
    </cfRule>
  </conditionalFormatting>
  <conditionalFormatting sqref="F80">
    <cfRule type="expression" dxfId="540" priority="12">
      <formula>AND(F80&lt;&gt;"",OR(N(F80)&gt;YEAR(NOW()),N(F80)&lt;YEAR(DS_DevExpDate)))</formula>
    </cfRule>
    <cfRule type="cellIs" dxfId="539" priority="95" operator="notEqual">
      <formula>""</formula>
    </cfRule>
  </conditionalFormatting>
  <conditionalFormatting sqref="F89">
    <cfRule type="expression" dxfId="538" priority="13">
      <formula>AND(F89&lt;&gt;"",OR(N(F89)&gt;YEAR(NOW()),N(F89)&lt;YEAR(DS_DevExpDate)))</formula>
    </cfRule>
    <cfRule type="cellIs" dxfId="537" priority="94" operator="notEqual">
      <formula>""</formula>
    </cfRule>
  </conditionalFormatting>
  <conditionalFormatting sqref="F68:H68 B68">
    <cfRule type="expression" dxfId="536" priority="93">
      <formula>$K68=0</formula>
    </cfRule>
  </conditionalFormatting>
  <conditionalFormatting sqref="B73:H81">
    <cfRule type="expression" dxfId="535" priority="92">
      <formula>$M$73=0</formula>
    </cfRule>
  </conditionalFormatting>
  <conditionalFormatting sqref="B77 F77:H77">
    <cfRule type="expression" dxfId="534" priority="91">
      <formula>$K$77=0</formula>
    </cfRule>
  </conditionalFormatting>
  <conditionalFormatting sqref="B86 F86:H86">
    <cfRule type="expression" dxfId="533" priority="88">
      <formula>$K$86=0</formula>
    </cfRule>
  </conditionalFormatting>
  <conditionalFormatting sqref="B82:H90">
    <cfRule type="expression" dxfId="532" priority="86">
      <formula>$M$82=0</formula>
    </cfRule>
  </conditionalFormatting>
  <conditionalFormatting sqref="B118:H119">
    <cfRule type="expression" dxfId="531" priority="74">
      <formula>$K$118=0</formula>
    </cfRule>
  </conditionalFormatting>
  <conditionalFormatting sqref="B120:H127">
    <cfRule type="expression" dxfId="530" priority="76">
      <formula>$M$120=0</formula>
    </cfRule>
  </conditionalFormatting>
  <conditionalFormatting sqref="B121:H126">
    <cfRule type="expression" dxfId="529" priority="77">
      <formula>$K121=0</formula>
    </cfRule>
  </conditionalFormatting>
  <conditionalFormatting sqref="B117:H135">
    <cfRule type="expression" dxfId="528" priority="73">
      <formula>$M$117=0</formula>
    </cfRule>
  </conditionalFormatting>
  <conditionalFormatting sqref="B128:H135">
    <cfRule type="expression" dxfId="527" priority="177">
      <formula>$M$128=0</formula>
    </cfRule>
  </conditionalFormatting>
  <conditionalFormatting sqref="B129:H134">
    <cfRule type="expression" dxfId="526" priority="178">
      <formula>$K129=0</formula>
    </cfRule>
  </conditionalFormatting>
  <conditionalFormatting sqref="C138">
    <cfRule type="cellIs" dxfId="525" priority="69" stopIfTrue="1" operator="equal">
      <formula>""</formula>
    </cfRule>
    <cfRule type="cellIs" dxfId="524" priority="70" operator="notEqual">
      <formula>"&lt;select one&gt;"</formula>
    </cfRule>
  </conditionalFormatting>
  <conditionalFormatting sqref="A136:H139">
    <cfRule type="expression" dxfId="523" priority="67">
      <formula>$K$138=0</formula>
    </cfRule>
  </conditionalFormatting>
  <conditionalFormatting sqref="A12:H16">
    <cfRule type="expression" dxfId="522" priority="58">
      <formula>$M$12=0</formula>
    </cfRule>
  </conditionalFormatting>
  <conditionalFormatting sqref="A17:H24">
    <cfRule type="expression" dxfId="521" priority="57">
      <formula>$M$17=0</formula>
    </cfRule>
  </conditionalFormatting>
  <conditionalFormatting sqref="B46:H47">
    <cfRule type="expression" dxfId="520" priority="56">
      <formula>$M$46=0</formula>
    </cfRule>
  </conditionalFormatting>
  <conditionalFormatting sqref="B48:H50">
    <cfRule type="expression" dxfId="519" priority="55">
      <formula>$M$48=0</formula>
    </cfRule>
  </conditionalFormatting>
  <conditionalFormatting sqref="B32:H33">
    <cfRule type="expression" dxfId="518" priority="52">
      <formula>$K$28=0</formula>
    </cfRule>
  </conditionalFormatting>
  <conditionalFormatting sqref="B28:H28 B29 D29:H29">
    <cfRule type="expression" dxfId="517" priority="51">
      <formula>$K$28=0</formula>
    </cfRule>
  </conditionalFormatting>
  <conditionalFormatting sqref="C165">
    <cfRule type="cellIs" dxfId="516" priority="47" stopIfTrue="1" operator="equal">
      <formula>""</formula>
    </cfRule>
    <cfRule type="cellIs" dxfId="515" priority="48" operator="notEqual">
      <formula>"&lt;select one&gt;"</formula>
    </cfRule>
  </conditionalFormatting>
  <conditionalFormatting sqref="C165:E165">
    <cfRule type="expression" dxfId="514" priority="46">
      <formula>$K$138=0</formula>
    </cfRule>
  </conditionalFormatting>
  <conditionalFormatting sqref="A164:H166 B163:H163">
    <cfRule type="expression" dxfId="513" priority="44">
      <formula>$K$165=0</formula>
    </cfRule>
  </conditionalFormatting>
  <conditionalFormatting sqref="A140:H162">
    <cfRule type="expression" dxfId="512" priority="16">
      <formula>$M$140=0</formula>
    </cfRule>
  </conditionalFormatting>
  <conditionalFormatting sqref="F107">
    <cfRule type="cellIs" dxfId="511" priority="82" operator="notEqual">
      <formula>""</formula>
    </cfRule>
  </conditionalFormatting>
  <conditionalFormatting sqref="F108">
    <cfRule type="cellIs" dxfId="510" priority="85" operator="notEqual">
      <formula>""</formula>
    </cfRule>
  </conditionalFormatting>
  <conditionalFormatting sqref="H107">
    <cfRule type="cellIs" dxfId="509" priority="83" operator="notEqual">
      <formula>""</formula>
    </cfRule>
  </conditionalFormatting>
  <conditionalFormatting sqref="B107:H115">
    <cfRule type="expression" dxfId="508" priority="14">
      <formula>$K107=0</formula>
    </cfRule>
  </conditionalFormatting>
  <conditionalFormatting sqref="G70:H70">
    <cfRule type="cellIs" dxfId="507" priority="4" operator="notEqual">
      <formula>""</formula>
    </cfRule>
  </conditionalFormatting>
  <conditionalFormatting sqref="G71:H71">
    <cfRule type="cellIs" dxfId="506" priority="5" operator="notEqual">
      <formula>""</formula>
    </cfRule>
  </conditionalFormatting>
  <conditionalFormatting sqref="G79:H79">
    <cfRule type="cellIs" dxfId="505" priority="6" operator="notEqual">
      <formula>""</formula>
    </cfRule>
  </conditionalFormatting>
  <conditionalFormatting sqref="G80:H80">
    <cfRule type="cellIs" dxfId="504" priority="7" operator="notEqual">
      <formula>""</formula>
    </cfRule>
  </conditionalFormatting>
  <conditionalFormatting sqref="G88:H88">
    <cfRule type="cellIs" dxfId="503" priority="8" operator="notEqual">
      <formula>""</formula>
    </cfRule>
  </conditionalFormatting>
  <conditionalFormatting sqref="G89:H89">
    <cfRule type="cellIs" dxfId="502" priority="9" operator="notEqual">
      <formula>""</formula>
    </cfRule>
  </conditionalFormatting>
  <conditionalFormatting sqref="A163">
    <cfRule type="expression" dxfId="501" priority="1">
      <formula>$K$138=0</formula>
    </cfRule>
  </conditionalFormatting>
  <dataValidations count="9">
    <dataValidation type="list" allowBlank="1" showInputMessage="1" showErrorMessage="1" sqref="C138 G30 D36 C165" xr:uid="{EE622EE2-086B-4DC4-9639-FD4DAABD8AFF}">
      <formula1>"&lt;select one&gt;, Yes, No"</formula1>
    </dataValidation>
    <dataValidation type="list" allowBlank="1" showInputMessage="1" showErrorMessage="1" sqref="F158 F112 F147" xr:uid="{1E7D68E6-23C2-4D5B-A015-EB7C1BD60A48}">
      <formula1>DS_States_DDMenu</formula1>
    </dataValidation>
    <dataValidation type="list" allowBlank="1" showInputMessage="1" showErrorMessage="1" sqref="F10" xr:uid="{5D954478-5EEB-42C3-A9C8-44EB7D0B99B4}">
      <formula1>DS_Demo_DDMenu</formula1>
    </dataValidation>
    <dataValidation type="list" allowBlank="1" showInputMessage="1" showErrorMessage="1" sqref="D103:E103" xr:uid="{50D70168-4D9E-461E-BFAD-650DA9629D6F}">
      <formula1>DS_Priority_DDMenu</formula1>
    </dataValidation>
    <dataValidation type="list" allowBlank="1" showInputMessage="1" showErrorMessage="1" sqref="F132 F124" xr:uid="{68019A2E-27E3-4C39-98E7-7A1709A55586}">
      <formula1>DS_Managing_DDMenu</formula1>
    </dataValidation>
    <dataValidation type="custom" allowBlank="1" showInputMessage="1" showErrorMessage="1" sqref="K153:K161 K28 K138 K53:K55 K61:K62 K30 K103 K107:K115 K118 N121:N126 K142:K150 N142:N150 N129:N134 N74:N80 K65:K71 N83:N89 K36 K19:K23 K14:K15 K165 K74:K80 K83:K89 N118 K121:K126 K129:K134 N153:N161 K10" xr:uid="{E109FDF8-245F-47C5-B0C0-C57B6170FA70}">
      <formula1>AND(K10&gt;=0,K10&lt;3,K10=ROUND(K10,0))</formula1>
    </dataValidation>
    <dataValidation type="list" allowBlank="1" showInputMessage="1" showErrorMessage="1" sqref="F68 F77 F86" xr:uid="{96FA4B39-53A5-44BD-BF74-A1AB9F43A448}">
      <formula1>DS_DevExpProgs_DDMenu</formula1>
    </dataValidation>
    <dataValidation type="whole" allowBlank="1" showErrorMessage="1" error="Please enter a whole number." sqref="F70" xr:uid="{2574CA6B-5DCB-4746-AF45-93D7FDADF155}">
      <formula1>0</formula1>
      <formula2>3000</formula2>
    </dataValidation>
    <dataValidation type="whole" allowBlank="1" showErrorMessage="1" error="Please enter a whole number." sqref="F71" xr:uid="{779520DF-92A8-4920-B2BD-BBD4B883EED2}">
      <formula1>0</formula1>
      <formula2>60000</formula2>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ignoredErrors>
    <ignoredError sqref="B52 B57 B59 B106"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0354" r:id="rId4" name="Check Box 2">
              <controlPr locked="0" defaultSize="0" autoFill="0" autoLine="0" autoPict="0" altText="">
                <anchor moveWithCells="1">
                  <from>
                    <xdr:col>1</xdr:col>
                    <xdr:colOff>22860</xdr:colOff>
                    <xdr:row>13</xdr:row>
                    <xdr:rowOff>7620</xdr:rowOff>
                  </from>
                  <to>
                    <xdr:col>4</xdr:col>
                    <xdr:colOff>144780</xdr:colOff>
                    <xdr:row>13</xdr:row>
                    <xdr:rowOff>236220</xdr:rowOff>
                  </to>
                </anchor>
              </controlPr>
            </control>
          </mc:Choice>
        </mc:AlternateContent>
        <mc:AlternateContent xmlns:mc="http://schemas.openxmlformats.org/markup-compatibility/2006">
          <mc:Choice Requires="x14">
            <control shapeId="100355" r:id="rId5" name="Check Box 3">
              <controlPr locked="0" defaultSize="0" autoFill="0" autoLine="0" autoPict="0">
                <anchor moveWithCells="1">
                  <from>
                    <xdr:col>1</xdr:col>
                    <xdr:colOff>22860</xdr:colOff>
                    <xdr:row>14</xdr:row>
                    <xdr:rowOff>0</xdr:rowOff>
                  </from>
                  <to>
                    <xdr:col>4</xdr:col>
                    <xdr:colOff>144780</xdr:colOff>
                    <xdr:row>14</xdr:row>
                    <xdr:rowOff>228600</xdr:rowOff>
                  </to>
                </anchor>
              </controlPr>
            </control>
          </mc:Choice>
        </mc:AlternateContent>
        <mc:AlternateContent xmlns:mc="http://schemas.openxmlformats.org/markup-compatibility/2006">
          <mc:Choice Requires="x14">
            <control shapeId="100356" r:id="rId6" name="Check Box 4">
              <controlPr locked="0" defaultSize="0" autoFill="0" autoLine="0" autoPict="0" altText="">
                <anchor moveWithCells="1">
                  <from>
                    <xdr:col>1</xdr:col>
                    <xdr:colOff>22860</xdr:colOff>
                    <xdr:row>17</xdr:row>
                    <xdr:rowOff>121920</xdr:rowOff>
                  </from>
                  <to>
                    <xdr:col>4</xdr:col>
                    <xdr:colOff>144780</xdr:colOff>
                    <xdr:row>18</xdr:row>
                    <xdr:rowOff>220980</xdr:rowOff>
                  </to>
                </anchor>
              </controlPr>
            </control>
          </mc:Choice>
        </mc:AlternateContent>
        <mc:AlternateContent xmlns:mc="http://schemas.openxmlformats.org/markup-compatibility/2006">
          <mc:Choice Requires="x14">
            <control shapeId="100357" r:id="rId7" name="Check Box 5">
              <controlPr locked="0" defaultSize="0" autoFill="0" autoLine="0" autoPict="0" altText="">
                <anchor moveWithCells="1">
                  <from>
                    <xdr:col>1</xdr:col>
                    <xdr:colOff>22860</xdr:colOff>
                    <xdr:row>18</xdr:row>
                    <xdr:rowOff>373380</xdr:rowOff>
                  </from>
                  <to>
                    <xdr:col>4</xdr:col>
                    <xdr:colOff>144780</xdr:colOff>
                    <xdr:row>19</xdr:row>
                    <xdr:rowOff>220980</xdr:rowOff>
                  </to>
                </anchor>
              </controlPr>
            </control>
          </mc:Choice>
        </mc:AlternateContent>
        <mc:AlternateContent xmlns:mc="http://schemas.openxmlformats.org/markup-compatibility/2006">
          <mc:Choice Requires="x14">
            <control shapeId="100358" r:id="rId8" name="Check Box 6">
              <controlPr locked="0" defaultSize="0" autoFill="0" autoLine="0" autoPict="0" altText="">
                <anchor moveWithCells="1">
                  <from>
                    <xdr:col>1</xdr:col>
                    <xdr:colOff>22860</xdr:colOff>
                    <xdr:row>19</xdr:row>
                    <xdr:rowOff>373380</xdr:rowOff>
                  </from>
                  <to>
                    <xdr:col>4</xdr:col>
                    <xdr:colOff>144780</xdr:colOff>
                    <xdr:row>20</xdr:row>
                    <xdr:rowOff>220980</xdr:rowOff>
                  </to>
                </anchor>
              </controlPr>
            </control>
          </mc:Choice>
        </mc:AlternateContent>
        <mc:AlternateContent xmlns:mc="http://schemas.openxmlformats.org/markup-compatibility/2006">
          <mc:Choice Requires="x14">
            <control shapeId="100359" r:id="rId9" name="Check Box 7">
              <controlPr locked="0" defaultSize="0" autoFill="0" autoLine="0" autoPict="0" altText="">
                <anchor moveWithCells="1">
                  <from>
                    <xdr:col>1</xdr:col>
                    <xdr:colOff>30480</xdr:colOff>
                    <xdr:row>20</xdr:row>
                    <xdr:rowOff>533400</xdr:rowOff>
                  </from>
                  <to>
                    <xdr:col>4</xdr:col>
                    <xdr:colOff>152400</xdr:colOff>
                    <xdr:row>21</xdr:row>
                    <xdr:rowOff>213360</xdr:rowOff>
                  </to>
                </anchor>
              </controlPr>
            </control>
          </mc:Choice>
        </mc:AlternateContent>
        <mc:AlternateContent xmlns:mc="http://schemas.openxmlformats.org/markup-compatibility/2006">
          <mc:Choice Requires="x14">
            <control shapeId="100361" r:id="rId10" name="Check Box 9">
              <controlPr locked="0" defaultSize="0" autoFill="0" autoLine="0" autoPict="0" altText="">
                <anchor moveWithCells="1">
                  <from>
                    <xdr:col>1</xdr:col>
                    <xdr:colOff>30480</xdr:colOff>
                    <xdr:row>21</xdr:row>
                    <xdr:rowOff>198120</xdr:rowOff>
                  </from>
                  <to>
                    <xdr:col>4</xdr:col>
                    <xdr:colOff>152400</xdr:colOff>
                    <xdr:row>22</xdr:row>
                    <xdr:rowOff>213360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61" id="{C9E182FF-7CFF-4AAF-9E94-BBECB8DF2E30}">
            <xm:f>Data1!$E$500="Yes"</xm:f>
            <x14:dxf>
              <font>
                <color theme="0"/>
              </font>
              <fill>
                <patternFill>
                  <bgColor theme="0"/>
                </patternFill>
              </fill>
              <border>
                <left/>
                <right/>
                <top/>
                <bottom/>
              </border>
            </x14:dxf>
          </x14:cfRule>
          <xm:sqref>K10:M10 M12 K14:M15 M17 K19:M23 K28:M30 K36:M36 M46 M48 K53:M55 K61:M62 K65:M71 M73 K74:N80 M82 K83:N89 M91 K103:M103 K107:M115 M117 K118:N118 M120 K121:N126 M128 K129:N134 M140 K142:N150 K153:N161 K165:M165 K138:M138</xm:sqref>
        </x14:conditionalFormatting>
        <x14:conditionalFormatting xmlns:xm="http://schemas.microsoft.com/office/excel/2006/main">
          <x14:cfRule type="expression" priority="1320" id="{00000000-000E-0000-0700-000039000000}">
            <xm:f>Data1!$B25=TRUE</xm:f>
            <x14:dxf>
              <fill>
                <patternFill>
                  <bgColor theme="9" tint="0.79998168889431442"/>
                </patternFill>
              </fill>
            </x14:dxf>
          </x14:cfRule>
          <xm:sqref>B14:H15</xm:sqref>
        </x14:conditionalFormatting>
        <x14:conditionalFormatting xmlns:xm="http://schemas.microsoft.com/office/excel/2006/main">
          <x14:cfRule type="expression" priority="1325" id="{00000000-000E-0000-0700-000033000000}">
            <xm:f>Data1!$B28=TRUE</xm:f>
            <x14:dxf>
              <fill>
                <patternFill>
                  <bgColor theme="9" tint="0.79998168889431442"/>
                </patternFill>
              </fill>
            </x14:dxf>
          </x14:cfRule>
          <xm:sqref>B19:H23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Z94"/>
  <sheetViews>
    <sheetView showGridLines="0" zoomScaleNormal="100" zoomScaleSheetLayoutView="100" workbookViewId="0">
      <pane ySplit="2" topLeftCell="A3" activePane="bottomLeft" state="frozen"/>
      <selection pane="bottomLeft" activeCell="G3" sqref="G3:I3"/>
    </sheetView>
  </sheetViews>
  <sheetFormatPr defaultColWidth="9.109375" defaultRowHeight="14.4"/>
  <cols>
    <col min="1" max="1" width="3" style="14" customWidth="1"/>
    <col min="2" max="3" width="3.5546875" style="14" customWidth="1"/>
    <col min="4" max="4" width="4.44140625" style="14" customWidth="1"/>
    <col min="5" max="5" width="23.88671875" style="14" customWidth="1"/>
    <col min="6" max="6" width="16.109375" style="14" customWidth="1"/>
    <col min="7" max="9" width="19" style="14" customWidth="1"/>
    <col min="10" max="10" width="16.6640625" style="386" customWidth="1"/>
    <col min="11" max="12" width="3.5546875" style="386" customWidth="1"/>
    <col min="13" max="13" width="31.5546875" style="14" customWidth="1"/>
    <col min="14" max="14" width="9.109375" style="14" customWidth="1"/>
    <col min="15" max="16384" width="9.109375" style="14"/>
  </cols>
  <sheetData>
    <row r="1" spans="1:26" ht="35.85" customHeight="1" thickBot="1">
      <c r="A1" s="1714" t="s">
        <v>264</v>
      </c>
      <c r="B1" s="1715"/>
      <c r="C1" s="1715"/>
      <c r="D1" s="1715"/>
      <c r="E1" s="1715"/>
      <c r="F1" s="1715"/>
      <c r="G1" s="1715"/>
      <c r="H1" s="1715"/>
      <c r="I1" s="1716"/>
      <c r="K1" s="1829" t="str">
        <f>"There are "&amp;TEXT(COUNTIF($K$3:$K$86,"=1"),"0")&amp;" required input fields and "&amp;TEXT(COUNTIF($K$3:$K$86,"=2"),"0")&amp;" optional input fields on this tab."&amp;CHAR(10)&amp;"There "&amp;IF(COUNTIFS($K$3:$K$86,"=1",$L$3:$L$86,"=1")=1,"is 1 required input field ","are "&amp;TEXT(COUNTIFS($K$3:$K$86,"=1",$L$3:$L$86,"=1"),"0")&amp;" required input fields")&amp;" and "&amp;TEXT(COUNTIFS($K$3:$K$86,"=2",$L$3:$L$86,"=2"),"0")&amp;" optional input field"&amp;IF(COUNTIFS($K$3:$K$86,"=2",$L$3:$L$86,"=2")=1," with an entry","s with entries")&amp;" on this tab."&amp;CHAR(10)&amp;"There "&amp;IF(Data1!G501=1,"is ","are ")&amp;TEXT(Data1!G501,"0")&amp;" required input field"&amp;IF(Data1!G501=1," that need an entry","s that need entries")&amp;" and "&amp;TEXT(Data1!H501,"0")&amp;" optional input field"&amp;IF(Data1!H501=1," that may or may not need an entry","s that may or may not need entries")&amp;" on this tab."</f>
        <v>There are 3 required input fields and 6 optional input fields on this tab.
There is 1 required input field  and 0 optional input fields with entries on this tab.
There are 2 required input fields that need entries and 6 optional input fields that may or may not need entries on this tab.</v>
      </c>
      <c r="L1" s="1829"/>
      <c r="M1" s="1829"/>
      <c r="N1" s="1829"/>
      <c r="O1" s="1829"/>
      <c r="P1" s="1829"/>
      <c r="Q1" s="1829"/>
      <c r="R1" s="1829"/>
      <c r="S1" s="1829"/>
      <c r="T1" s="1829"/>
      <c r="U1" s="1829"/>
      <c r="V1" s="583"/>
      <c r="W1" s="583"/>
      <c r="X1" s="583"/>
      <c r="Y1" s="583"/>
      <c r="Z1" s="583"/>
    </row>
    <row r="2" spans="1:26">
      <c r="A2" s="16"/>
      <c r="B2" s="16"/>
      <c r="C2" s="16"/>
      <c r="D2" s="16"/>
      <c r="E2" s="16"/>
      <c r="F2" s="16"/>
      <c r="G2" s="16"/>
      <c r="H2" s="16"/>
      <c r="I2" s="16"/>
      <c r="J2" s="377"/>
      <c r="K2" s="1829"/>
      <c r="L2" s="1829"/>
      <c r="M2" s="1829"/>
      <c r="N2" s="1829"/>
      <c r="O2" s="1829"/>
      <c r="P2" s="1829"/>
      <c r="Q2" s="1829"/>
      <c r="R2" s="1829"/>
      <c r="S2" s="1829"/>
      <c r="T2" s="1829"/>
      <c r="U2" s="1829"/>
      <c r="V2" s="583"/>
      <c r="W2" s="583"/>
      <c r="X2" s="583"/>
      <c r="Y2" s="583"/>
      <c r="Z2" s="583"/>
    </row>
    <row r="3" spans="1:26" s="29" customFormat="1" ht="17.399999999999999" customHeight="1">
      <c r="A3" s="1179" t="s">
        <v>213</v>
      </c>
      <c r="B3" s="1853" t="s">
        <v>265</v>
      </c>
      <c r="C3" s="1853"/>
      <c r="D3" s="1853"/>
      <c r="E3" s="1853"/>
      <c r="F3" s="1853"/>
      <c r="G3" s="1836"/>
      <c r="H3" s="1836"/>
      <c r="I3" s="1836"/>
      <c r="J3" s="387"/>
      <c r="K3" s="588">
        <v>1</v>
      </c>
      <c r="L3" s="384">
        <f>IF(AND(K3&lt;&gt;0,G3&lt;&gt;""),K3,0)</f>
        <v>0</v>
      </c>
      <c r="M3" s="375" t="str">
        <f>CHOOSE(K3+1,"Not to be included in this RFA","A REQUIRED input field for this RFA","An OPTIONAL input field for this RFA")</f>
        <v>A REQUIRED input field for this RFA</v>
      </c>
    </row>
    <row r="4" spans="1:26" s="32" customFormat="1" ht="14.4" customHeight="1">
      <c r="A4" s="30"/>
      <c r="B4" s="30"/>
      <c r="C4" s="1613" t="str">
        <f>IF(G3="","(The Name of the Proposed Development must have an entry to turn on some of the validation formulas in Exhibit A)","")</f>
        <v>(The Name of the Proposed Development must have an entry to turn on some of the validation formulas in Exhibit A)</v>
      </c>
      <c r="D4" s="30"/>
      <c r="E4" s="30"/>
      <c r="F4" s="30"/>
      <c r="G4" s="31"/>
      <c r="H4" s="31"/>
      <c r="I4" s="30"/>
      <c r="J4" s="31"/>
      <c r="L4" s="391"/>
      <c r="M4" s="366"/>
    </row>
    <row r="5" spans="1:26" s="29" customFormat="1" ht="14.4" customHeight="1">
      <c r="A5" s="1180" t="s">
        <v>222</v>
      </c>
      <c r="B5" s="150" t="s">
        <v>266</v>
      </c>
      <c r="C5" s="150"/>
      <c r="D5" s="150"/>
      <c r="E5" s="150"/>
      <c r="F5" s="150"/>
      <c r="G5" s="144"/>
      <c r="H5" s="144"/>
      <c r="I5" s="1870" t="str">
        <f>IF(G6="&lt;select one&gt;","",IF(H$87&lt;Total_Units,"(Please complete the Unit Characteristics table in "&amp;A67&amp;". below)",IF(SUM(H$72:H$80)&gt;=ROUNDUP(50%*Total_Units,0),IF(OR(Development_Category=Data1!A$146,Development_Category=Data1!A$149,Development_Category=Data1!A$150),"(Your selection for Development Category is confirmed by the entires in the Unit Characteristics table below)","(Your selection for Development Cateogry is NOT confirmed by the entries in the Unit Characteristics table below)"),IF(OR(Development_Category=Data1!A$147,Development_Category=Data1!A$148,Development_Category=Data1!A$151,Development_Category=Data1!A$152),"(Your selection for Development Category is confirmed by the entries in the Unit Characteristics table below)","(Your selection for Development Cateogry is NOT confirmed by the entries in the Unit Characteristics table below)"))))</f>
        <v>(Your selection for Development Category is confirmed by the entires in the Unit Characteristics table below)</v>
      </c>
      <c r="J5" s="1870"/>
      <c r="K5" s="32"/>
      <c r="L5" s="390"/>
    </row>
    <row r="6" spans="1:26" s="29" customFormat="1" ht="17.399999999999999" customHeight="1">
      <c r="A6" s="144"/>
      <c r="B6" s="1231">
        <v>1</v>
      </c>
      <c r="C6" s="155" t="s">
        <v>267</v>
      </c>
      <c r="D6" s="110"/>
      <c r="F6" s="144"/>
      <c r="G6" s="1835" t="s">
        <v>17</v>
      </c>
      <c r="H6" s="1835"/>
      <c r="I6" s="1870"/>
      <c r="J6" s="1870"/>
      <c r="K6" s="397">
        <v>1</v>
      </c>
      <c r="L6" s="390">
        <f>IF(AND(K6&lt;&gt;0,AND(G6&lt;&gt;"&lt;select one&gt;",G6&lt;&gt;"")),K6,0)</f>
        <v>1</v>
      </c>
      <c r="M6" s="375" t="str">
        <f>CHOOSE(K6+1,"Not to be included in this RFA","A REQUIRED input field for this RFA","An OPTIONAL input field for this RFA")</f>
        <v>A REQUIRED input field for this RFA</v>
      </c>
      <c r="N6" s="568"/>
    </row>
    <row r="7" spans="1:26" s="29" customFormat="1" ht="10.35" customHeight="1">
      <c r="A7" s="144"/>
      <c r="I7" s="1870"/>
      <c r="J7" s="1870"/>
      <c r="K7" s="32"/>
      <c r="L7" s="390"/>
    </row>
    <row r="8" spans="1:26" s="29" customFormat="1" ht="17.399999999999999" hidden="1" customHeight="1">
      <c r="A8" s="1512"/>
      <c r="I8" s="1513"/>
      <c r="J8" s="1513"/>
      <c r="K8" s="32"/>
      <c r="L8" s="390"/>
      <c r="M8" s="1223">
        <v>0</v>
      </c>
    </row>
    <row r="9" spans="1:26" s="29" customFormat="1" ht="14.4" hidden="1" customHeight="1">
      <c r="A9" s="1512"/>
      <c r="I9" s="1513"/>
      <c r="J9" s="1513"/>
      <c r="K9" s="32"/>
      <c r="L9" s="390"/>
    </row>
    <row r="10" spans="1:26" s="29" customFormat="1" ht="14.4" hidden="1" customHeight="1">
      <c r="A10" s="1512"/>
      <c r="I10" s="1513"/>
      <c r="J10" s="1513"/>
      <c r="K10" s="32"/>
      <c r="L10" s="390"/>
    </row>
    <row r="11" spans="1:26" s="29" customFormat="1" ht="14.4" hidden="1" customHeight="1">
      <c r="A11" s="1512"/>
      <c r="I11" s="1513"/>
      <c r="J11" s="1513"/>
      <c r="K11" s="32"/>
      <c r="L11" s="390"/>
    </row>
    <row r="12" spans="1:26" s="29" customFormat="1" ht="30" hidden="1" customHeight="1">
      <c r="A12" s="1512"/>
      <c r="I12" s="1513"/>
      <c r="J12" s="1513"/>
      <c r="K12" s="32"/>
      <c r="L12" s="390"/>
    </row>
    <row r="13" spans="1:26" s="29" customFormat="1" ht="10.35" hidden="1" customHeight="1">
      <c r="A13" s="1512"/>
      <c r="I13" s="1513"/>
      <c r="J13" s="1513"/>
      <c r="K13" s="32"/>
      <c r="L13" s="390"/>
    </row>
    <row r="14" spans="1:26" s="29" customFormat="1" ht="43.95" hidden="1" customHeight="1">
      <c r="A14" s="1512"/>
      <c r="I14" s="1513"/>
      <c r="J14" s="1513"/>
      <c r="K14" s="32"/>
      <c r="L14" s="390"/>
    </row>
    <row r="15" spans="1:26" s="29" customFormat="1" ht="10.35" hidden="1" customHeight="1">
      <c r="A15" s="1512"/>
      <c r="I15" s="1513"/>
      <c r="J15" s="1513"/>
      <c r="K15" s="32"/>
      <c r="L15" s="390"/>
    </row>
    <row r="16" spans="1:26" s="29" customFormat="1" ht="10.35" hidden="1" customHeight="1">
      <c r="A16" s="144"/>
      <c r="B16" s="136"/>
      <c r="C16" s="142"/>
      <c r="D16" s="142"/>
      <c r="E16" s="142"/>
      <c r="F16" s="142"/>
      <c r="G16" s="142"/>
      <c r="H16" s="669"/>
      <c r="I16" s="1438"/>
      <c r="J16" s="387"/>
      <c r="K16" s="32"/>
      <c r="L16" s="390"/>
    </row>
    <row r="17" spans="1:12" s="29" customFormat="1" ht="14.4" hidden="1" customHeight="1" thickBot="1">
      <c r="A17" s="667"/>
      <c r="B17" s="136"/>
      <c r="C17" s="679" t="s">
        <v>266</v>
      </c>
      <c r="D17" s="680"/>
      <c r="E17" s="680"/>
      <c r="F17" s="680"/>
      <c r="G17" s="681" t="s">
        <v>17</v>
      </c>
      <c r="H17" s="682" t="str">
        <f>IF(OR(Development_Category="Preservation","Acquisition Preservation"),"Preservation","Rehabilitation")</f>
        <v>Rehabilitation</v>
      </c>
      <c r="I17" s="1438"/>
      <c r="J17" s="387"/>
      <c r="K17" s="32"/>
      <c r="L17" s="390"/>
    </row>
    <row r="18" spans="1:12" s="29" customFormat="1" ht="14.4" hidden="1" customHeight="1">
      <c r="A18" s="667"/>
      <c r="B18" s="136"/>
      <c r="C18" s="677" t="s">
        <v>1256</v>
      </c>
      <c r="D18" s="668"/>
      <c r="E18" s="668"/>
      <c r="F18" s="668"/>
      <c r="G18" s="670" t="str">
        <f>IF(OR(Development_Category="Redevelopment",Development_Category="Acquisition and Redevelopment",Development_Category="New Construction"),"Yes",IF(Development_Category="&lt;select one&gt;","NA","No"))</f>
        <v>Yes</v>
      </c>
      <c r="H18" s="678" t="str">
        <f>IF(OR(Development_Category="Rehabilitation",Development_Category="Acquisition and Rehabilitation",Development_Category="Preservation",Development_Category="Acquisition and Preservation"),"Yes",IF(Development_Category="&lt;select one&gt;","NA","No"))</f>
        <v>No</v>
      </c>
      <c r="I18" s="1856" t="str">
        <f>IF(OR(G20="",G20&gt;0,H20="",H20&gt;0),"","(Needs "&amp;IF(AND(N(Total_Units)=0,total_units_in_unit_desc_chart=0),"both ","")&amp;IF(N(Total_Units)=0,"Total Units ","")&amp;IF(AND(N(Total_Units)=0,total_units_in_unit_desc_chart=0),"and ","")&amp;IF(total_units_in_unit_desc_chart=0,"Unit Characteristics Table below ","")&amp;" completed)")</f>
        <v>(Needs both Total Units and Unit Characteristics Table below  completed)</v>
      </c>
      <c r="J18" s="387"/>
      <c r="K18" s="32"/>
      <c r="L18" s="390"/>
    </row>
    <row r="19" spans="1:12" s="29" customFormat="1" ht="14.4" hidden="1" customHeight="1">
      <c r="A19" s="667"/>
      <c r="B19" s="136"/>
      <c r="C19" s="688" t="s">
        <v>1257</v>
      </c>
      <c r="D19" s="689"/>
      <c r="E19" s="689"/>
      <c r="F19" s="689"/>
      <c r="G19" s="690">
        <v>0.5</v>
      </c>
      <c r="H19" s="691">
        <v>0.5</v>
      </c>
      <c r="I19" s="1856"/>
      <c r="J19" s="387"/>
      <c r="K19" s="32"/>
      <c r="L19" s="390"/>
    </row>
    <row r="20" spans="1:12" s="29" customFormat="1" ht="14.4" hidden="1" customHeight="1" thickBot="1">
      <c r="A20" s="667"/>
      <c r="B20" s="136"/>
      <c r="C20" s="706" t="s">
        <v>1258</v>
      </c>
      <c r="D20" s="707"/>
      <c r="E20" s="707"/>
      <c r="F20" s="707"/>
      <c r="G20" s="708">
        <f>IF(Development_Category="&lt;select one&gt;","",IF(Total_Units=0,0,SUM($H$72:$H$80)/Total_Units))</f>
        <v>0</v>
      </c>
      <c r="H20" s="709">
        <f>IF(Development_Category="&lt;select one&gt;","",IF(Total_Units=0,0,SUM($H$72:$H$80)/Total_Units))</f>
        <v>0</v>
      </c>
      <c r="I20" s="1856"/>
      <c r="J20" s="387"/>
      <c r="K20" s="32"/>
      <c r="L20" s="390"/>
    </row>
    <row r="21" spans="1:12" s="29" customFormat="1" ht="14.4" hidden="1" customHeight="1">
      <c r="A21" s="1512"/>
      <c r="B21" s="136"/>
      <c r="C21" s="677"/>
      <c r="D21" s="1515"/>
      <c r="E21" s="1515"/>
      <c r="F21" s="1515"/>
      <c r="G21" s="1520"/>
      <c r="H21" s="1521"/>
      <c r="I21" s="1514"/>
      <c r="J21" s="387"/>
      <c r="K21" s="32"/>
      <c r="L21" s="390"/>
    </row>
    <row r="22" spans="1:12" s="29" customFormat="1" ht="14.4" hidden="1" customHeight="1">
      <c r="A22" s="1512"/>
      <c r="B22" s="136"/>
      <c r="C22" s="677"/>
      <c r="D22" s="1515"/>
      <c r="E22" s="1515"/>
      <c r="F22" s="1515"/>
      <c r="G22" s="1520"/>
      <c r="H22" s="1521"/>
      <c r="I22" s="1514"/>
      <c r="J22" s="387"/>
      <c r="K22" s="32"/>
      <c r="L22" s="390"/>
    </row>
    <row r="23" spans="1:12" s="29" customFormat="1" ht="44.1" hidden="1" customHeight="1">
      <c r="A23" s="667"/>
      <c r="B23" s="136"/>
      <c r="C23" s="702" t="s">
        <v>1260</v>
      </c>
      <c r="D23" s="703"/>
      <c r="E23" s="703"/>
      <c r="F23" s="703"/>
      <c r="G23" s="704"/>
      <c r="H23" s="705" t="s">
        <v>1264</v>
      </c>
      <c r="I23" s="1857"/>
      <c r="J23" s="387"/>
      <c r="K23" s="32"/>
      <c r="L23" s="390"/>
    </row>
    <row r="24" spans="1:12" s="29" customFormat="1" ht="17.399999999999999" hidden="1" customHeight="1">
      <c r="A24" s="667"/>
      <c r="B24" s="136"/>
      <c r="C24" s="674" t="s">
        <v>1259</v>
      </c>
      <c r="D24" s="675"/>
      <c r="E24" s="675"/>
      <c r="F24" s="675"/>
      <c r="G24" s="676"/>
      <c r="H24" s="699">
        <f>IF(Development_Category="&lt;select one&gt;","",N(Development_Cost_eligible)-N(Acquisition_eligible)+N(Developer_fee_non_acq_eligible))</f>
        <v>0</v>
      </c>
      <c r="I24" s="1857"/>
      <c r="J24" s="387"/>
      <c r="K24" s="32"/>
      <c r="L24" s="390"/>
    </row>
    <row r="25" spans="1:12" s="29" customFormat="1" ht="17.399999999999999" hidden="1" customHeight="1" thickBot="1">
      <c r="A25" s="667"/>
      <c r="B25" s="136"/>
      <c r="C25" s="695" t="s">
        <v>1265</v>
      </c>
      <c r="D25" s="696"/>
      <c r="E25" s="696"/>
      <c r="F25" s="696"/>
      <c r="G25" s="697"/>
      <c r="H25" s="700">
        <f>IF(Development_Category="&lt;select one&gt;","",IF(Acq_elig=0,0,N(Acquisition_eligible)+N(Developer_fee_acq_eligible)))</f>
        <v>0</v>
      </c>
      <c r="I25" s="1857"/>
      <c r="J25" s="387"/>
      <c r="K25" s="32"/>
      <c r="L25" s="390"/>
    </row>
    <row r="26" spans="1:12" s="29" customFormat="1" ht="17.399999999999999" hidden="1" customHeight="1" thickTop="1" thickBot="1">
      <c r="A26" s="667"/>
      <c r="B26" s="136"/>
      <c r="C26" s="1396" t="s">
        <v>1954</v>
      </c>
      <c r="D26" s="1397"/>
      <c r="E26" s="1397"/>
      <c r="F26" s="1397"/>
      <c r="G26" s="1398"/>
      <c r="H26" s="1399" t="str">
        <f>IF(Development_Category="&lt;select one&gt;","",IF(N(H25)=0,"&gt;=20%",N(H24)/N(H25)))</f>
        <v>&gt;=20%</v>
      </c>
      <c r="I26" s="1857"/>
      <c r="J26" s="387"/>
      <c r="K26" s="32"/>
      <c r="L26" s="390"/>
    </row>
    <row r="27" spans="1:12" s="29" customFormat="1" ht="17.399999999999999" hidden="1" customHeight="1" thickBot="1">
      <c r="A27" s="1368"/>
      <c r="B27" s="136"/>
      <c r="C27" s="1400" t="s">
        <v>1952</v>
      </c>
      <c r="D27" s="1401"/>
      <c r="E27" s="1401"/>
      <c r="F27" s="1401"/>
      <c r="G27" s="1402"/>
      <c r="H27" s="1403" t="str">
        <f>IF(Development_Category="&lt;select one&gt;","",IF(H18="No","NA",IF(OR(H26="&gt;20%",H26&gt;=20%),"Yes","No")))</f>
        <v>NA</v>
      </c>
      <c r="I27" s="1385"/>
      <c r="J27" s="387"/>
      <c r="K27" s="32"/>
      <c r="L27" s="390"/>
    </row>
    <row r="28" spans="1:12" s="29" customFormat="1" ht="14.7" hidden="1" customHeight="1">
      <c r="A28" s="667"/>
      <c r="B28" s="136"/>
      <c r="C28" s="1858" t="s">
        <v>1261</v>
      </c>
      <c r="D28" s="1859"/>
      <c r="E28" s="1859"/>
      <c r="F28" s="1859"/>
      <c r="G28" s="1864"/>
      <c r="H28" s="1867" t="s">
        <v>1263</v>
      </c>
      <c r="I28" s="1854" t="str">
        <f>IF(OR(H31=0,Minimum_SetAside_per_Sec_42="&lt;select one&gt;",OR(AND(Minimum_SetAside_per_Sec_42="Average Income Test",AIT_HC_SA_Percent=0),AND(Minimum_SetAside_per_Sec_42&lt;&gt;"Average Income Test",NonAIT_HC_SA_Percent=0))),"(Needs "&amp;IF(H31=0,"data in Column 1 for B., C. and/or Developer Fee on Non-Acquisition Costs in Pro Forma","")&amp;IF(AND(H31=0,H32=1),", ","")&amp;IF(H32=1,"qualifying basis-boost qualifications (if applicable)","")&amp;IF(AND(OR(H31=0,H32=1),Minimum_SetAside_per_Sec_42="&lt;select one&gt;"),", ","")&amp;IF(Minimum_SetAside_per_Sec_42="&lt;select one&gt;","selection of a HC Set-Aside Commitment","")&amp;IF(AND(OR(H31=0,H32=1,Minimum_SetAside_per_Sec_42="&lt;select one&gt;"),OR(AND(Minimum_SetAside_per_Sec_42="Average Income Test",AIT_HC_SA_Percent=0),AND(Minimum_SetAside_per_Sec_42&lt;&gt;"Average Income Test",NonAIT_HC_SA_Percent=0))),", ","")&amp;IF(OR(AND(Minimum_SetAside_per_Sec_42="Average Income Test",AIT_HC_SA_Percent=0),AND(Minimum_SetAside_per_Sec_42&lt;&gt;"Average Income Test",NonAIT_HC_SA_Percent=0)),"identification of the HC Set-Asides","")&amp;IF(AND(OR(H31=0,H32=1,Minimum_SetAside_per_Sec_42="&lt;select one&gt;",OR(AND(Minimum_SetAside_per_Sec_42="Average Income Test",AIT_HC_SA_Percent=0),AND(Minimum_SetAside_per_Sec_42&lt;&gt;"Average Income Test",NonAIT_HC_SA_Percent=0))),H34=0),", ","")&amp;IF(H34=0,"Total Units","")&amp;")","")</f>
        <v>(Needs data in Column 1 for B., C. and/or Developer Fee on Non-Acquisition Costs in Pro Forma, qualifying basis-boost qualifications (if applicable), selection of a HC Set-Aside Commitment, identification of the HC Set-Asides, Total Units)</v>
      </c>
      <c r="J28" s="387"/>
      <c r="K28" s="32"/>
      <c r="L28" s="390"/>
    </row>
    <row r="29" spans="1:12" s="29" customFormat="1" ht="14.7" hidden="1" customHeight="1">
      <c r="A29" s="1512"/>
      <c r="B29" s="136"/>
      <c r="C29" s="1860"/>
      <c r="D29" s="1861"/>
      <c r="E29" s="1861"/>
      <c r="F29" s="1861"/>
      <c r="G29" s="1865"/>
      <c r="H29" s="1868"/>
      <c r="I29" s="1854"/>
      <c r="J29" s="387"/>
      <c r="K29" s="32"/>
      <c r="L29" s="390"/>
    </row>
    <row r="30" spans="1:12" s="29" customFormat="1" ht="14.7" hidden="1" customHeight="1">
      <c r="A30" s="1512"/>
      <c r="B30" s="136"/>
      <c r="C30" s="1862"/>
      <c r="D30" s="1863"/>
      <c r="E30" s="1863"/>
      <c r="F30" s="1863"/>
      <c r="G30" s="1866"/>
      <c r="H30" s="1869"/>
      <c r="I30" s="1854"/>
      <c r="J30" s="387"/>
      <c r="K30" s="32"/>
      <c r="L30" s="390"/>
    </row>
    <row r="31" spans="1:12" s="29" customFormat="1" ht="14.4" hidden="1" customHeight="1">
      <c r="A31" s="667"/>
      <c r="B31" s="136"/>
      <c r="C31" s="674" t="s">
        <v>1259</v>
      </c>
      <c r="D31" s="675"/>
      <c r="E31" s="675"/>
      <c r="F31" s="675"/>
      <c r="G31" s="676"/>
      <c r="H31" s="699">
        <f>IF(Development_Category="&lt;select one&gt;","",N(Development_Cost_eligible)-N(Acquisition_eligible)+N(Developer_fee_non_acq_eligible))</f>
        <v>0</v>
      </c>
      <c r="I31" s="1854"/>
      <c r="J31" s="387"/>
      <c r="K31" s="32"/>
      <c r="L31" s="390"/>
    </row>
    <row r="32" spans="1:12" s="29" customFormat="1" ht="14.4" hidden="1" customHeight="1">
      <c r="A32" s="667"/>
      <c r="B32" s="136"/>
      <c r="C32" s="671" t="s">
        <v>1273</v>
      </c>
      <c r="D32" s="672"/>
      <c r="E32" s="672"/>
      <c r="F32" s="672"/>
      <c r="G32" s="673"/>
      <c r="H32" s="701">
        <f>IF(Development_Category="&lt;select one&gt;","",IF(OR(AND(Multiphase_subsequent&lt;&gt;"Yes",App_number_first_phase&lt;&gt;""),AND(Small_Area_DDA="Yes",SADDA_ZCTA_1&lt;&gt;""),AND(DDA_nonmetro="Yes",DDA_nonmetro_name=County),AND(QCT="Yes",QCT_number&lt;&gt;""),AND(Geo_Area_of_Opp_boost="Yes",GAO_Number1&lt;&gt;""),LGAO_Number="Yes",PHA_Area_of_Opp_boost="Yes"),1.3,1))</f>
        <v>1</v>
      </c>
      <c r="I32" s="1854"/>
      <c r="J32" s="387"/>
      <c r="K32" s="32"/>
      <c r="L32" s="390"/>
    </row>
    <row r="33" spans="1:14" s="29" customFormat="1" ht="14.4" hidden="1" customHeight="1">
      <c r="A33" s="667"/>
      <c r="B33" s="136"/>
      <c r="C33" s="692" t="s">
        <v>1275</v>
      </c>
      <c r="D33" s="693"/>
      <c r="E33" s="693"/>
      <c r="F33" s="693"/>
      <c r="G33" s="694"/>
      <c r="H33" s="714">
        <f>IF(Development_Category="&lt;select one&gt;","",IF(Minimum_SetAside_per_Sec_42="&lt;select one&gt;",0,IF(Minimum_SetAside_per_Sec_42="Average Income Test",AIT_HC_SA_Percent,NonAIT_HC_SA_Percent)))</f>
        <v>0</v>
      </c>
      <c r="I33" s="1854"/>
      <c r="J33" s="387"/>
      <c r="K33" s="32"/>
      <c r="L33" s="390"/>
    </row>
    <row r="34" spans="1:14" s="29" customFormat="1" ht="14.4" hidden="1" customHeight="1" thickBot="1">
      <c r="A34" s="667"/>
      <c r="B34" s="136"/>
      <c r="C34" s="695" t="s">
        <v>1274</v>
      </c>
      <c r="D34" s="696"/>
      <c r="E34" s="696"/>
      <c r="F34" s="696"/>
      <c r="G34" s="697"/>
      <c r="H34" s="698">
        <f>IF(Development_Category="&lt;select one&gt;","",IF(Minimum_SetAside_per_Sec_42="&lt;select one&gt;",0,IF(Minimum_SetAside_per_Sec_42="Average Income Test",total_HC_units_avg_inc,total_HC_units_NonAIT)))</f>
        <v>0</v>
      </c>
      <c r="I34" s="1854"/>
      <c r="J34" s="387"/>
      <c r="K34" s="32"/>
      <c r="L34" s="390"/>
    </row>
    <row r="35" spans="1:14" s="29" customFormat="1" ht="14.4" hidden="1" customHeight="1" thickTop="1" thickBot="1">
      <c r="A35" s="667"/>
      <c r="B35" s="136"/>
      <c r="C35" s="710" t="s">
        <v>1262</v>
      </c>
      <c r="D35" s="711"/>
      <c r="E35" s="711"/>
      <c r="F35" s="711"/>
      <c r="G35" s="712"/>
      <c r="H35" s="713">
        <f>IF(Development_Category="&lt;select one&gt;","",IF(N(H34)=0,0,N(H24)*N(H32)*N(H33)/N(H34)))</f>
        <v>0</v>
      </c>
      <c r="I35" s="1854"/>
      <c r="J35" s="387"/>
      <c r="K35" s="32"/>
      <c r="L35" s="390"/>
    </row>
    <row r="36" spans="1:14" s="29" customFormat="1" ht="14.4" hidden="1" customHeight="1" thickBot="1">
      <c r="A36" s="1368"/>
      <c r="B36" s="136"/>
      <c r="C36" s="1400" t="s">
        <v>1953</v>
      </c>
      <c r="D36" s="1404"/>
      <c r="E36" s="1404"/>
      <c r="F36" s="1404"/>
      <c r="G36" s="1405"/>
      <c r="H36" s="1406" t="str">
        <f>IF(H18="No","NA",IF(H35&gt;=25000,"Yes","No"))</f>
        <v>NA</v>
      </c>
      <c r="I36" s="1854"/>
      <c r="J36" s="387"/>
      <c r="K36" s="32"/>
      <c r="L36" s="390"/>
    </row>
    <row r="37" spans="1:14" s="29" customFormat="1" ht="10.35" hidden="1" customHeight="1">
      <c r="A37" s="667"/>
      <c r="B37" s="136"/>
      <c r="C37" s="668"/>
      <c r="D37" s="668"/>
      <c r="E37" s="668"/>
      <c r="F37" s="668"/>
      <c r="G37" s="669"/>
      <c r="H37" s="685"/>
      <c r="I37" s="686"/>
      <c r="J37" s="387"/>
      <c r="K37" s="32"/>
      <c r="L37" s="390"/>
    </row>
    <row r="38" spans="1:14" s="29" customFormat="1" ht="17.399999999999999" hidden="1" customHeight="1">
      <c r="A38" s="144"/>
      <c r="B38" s="579" t="str">
        <f>IF($M$38=0,"",MAX(B$6:B37)+1)</f>
        <v/>
      </c>
      <c r="C38" s="155" t="s">
        <v>268</v>
      </c>
      <c r="D38" s="110"/>
      <c r="F38" s="155"/>
      <c r="G38" s="155"/>
      <c r="H38" s="687"/>
      <c r="I38" s="686"/>
      <c r="J38" s="1203"/>
      <c r="K38" s="32"/>
      <c r="L38" s="390"/>
      <c r="M38" s="576">
        <v>0</v>
      </c>
    </row>
    <row r="39" spans="1:14" s="29" customFormat="1" ht="14.4" hidden="1" customHeight="1">
      <c r="A39" s="144"/>
      <c r="B39" s="155"/>
      <c r="C39" s="135" t="s">
        <v>224</v>
      </c>
      <c r="D39" s="155" t="s">
        <v>269</v>
      </c>
      <c r="F39" s="155"/>
      <c r="G39" s="155"/>
      <c r="H39" s="687"/>
      <c r="I39" s="686"/>
      <c r="J39" s="1203"/>
      <c r="K39" s="32"/>
      <c r="L39" s="390"/>
    </row>
    <row r="40" spans="1:14" s="29" customFormat="1" ht="34.35" hidden="1" customHeight="1">
      <c r="A40" s="144"/>
      <c r="B40" s="144"/>
      <c r="C40" s="144"/>
      <c r="E40" s="1829" t="s">
        <v>270</v>
      </c>
      <c r="F40" s="1829"/>
      <c r="G40" s="1829"/>
      <c r="H40" s="1829"/>
      <c r="I40" s="1829"/>
      <c r="J40" s="1203"/>
      <c r="K40" s="32"/>
      <c r="L40" s="390"/>
    </row>
    <row r="41" spans="1:14" s="29" customFormat="1" ht="14.4" hidden="1" customHeight="1">
      <c r="A41" s="144"/>
      <c r="B41" s="144"/>
      <c r="C41" s="135" t="s">
        <v>235</v>
      </c>
      <c r="D41" s="155" t="s">
        <v>271</v>
      </c>
      <c r="F41" s="144"/>
      <c r="G41" s="144"/>
      <c r="H41" s="143"/>
      <c r="I41" s="144"/>
      <c r="J41" s="1203"/>
      <c r="K41" s="32"/>
      <c r="L41" s="390"/>
    </row>
    <row r="42" spans="1:14" s="29" customFormat="1" ht="36" hidden="1" customHeight="1">
      <c r="A42" s="144"/>
      <c r="B42" s="144"/>
      <c r="C42" s="144"/>
      <c r="D42" s="144"/>
      <c r="E42" s="1829" t="s">
        <v>272</v>
      </c>
      <c r="F42" s="1829"/>
      <c r="G42" s="1829"/>
      <c r="H42" s="1829"/>
      <c r="I42" s="1829"/>
      <c r="J42" s="1383"/>
      <c r="K42" s="32"/>
      <c r="L42" s="390"/>
    </row>
    <row r="43" spans="1:14" s="29" customFormat="1" ht="17.399999999999999" hidden="1" customHeight="1">
      <c r="A43" s="144"/>
      <c r="B43" s="144"/>
      <c r="C43" s="144"/>
      <c r="D43" s="144"/>
      <c r="E43" s="137" t="s">
        <v>273</v>
      </c>
      <c r="F43" s="1606"/>
      <c r="G43" s="144"/>
      <c r="H43" s="143"/>
      <c r="I43" s="144"/>
      <c r="J43" s="1203"/>
      <c r="K43" s="1421">
        <f>IF(M$38=0,0,N43)</f>
        <v>0</v>
      </c>
      <c r="L43" s="384">
        <f>IF(AND(K43&lt;&gt;0,F43&lt;&gt;""),K43,0)</f>
        <v>0</v>
      </c>
      <c r="M43" s="375" t="str">
        <f>CHOOSE(K43+1,"Not to be included in this RFA","A REQUIRED input field for this RFA","An OPTIONAL input field for this RFA")</f>
        <v>Not to be included in this RFA</v>
      </c>
      <c r="N43" s="588">
        <v>0</v>
      </c>
    </row>
    <row r="44" spans="1:14" s="29" customFormat="1" ht="10.35" hidden="1" customHeight="1">
      <c r="A44" s="144"/>
      <c r="B44" s="144"/>
      <c r="C44" s="144"/>
      <c r="D44" s="144"/>
      <c r="E44" s="138"/>
      <c r="F44" s="87"/>
      <c r="G44" s="87"/>
      <c r="H44" s="659"/>
      <c r="I44" s="144"/>
      <c r="J44" s="1203"/>
      <c r="K44" s="32"/>
      <c r="L44" s="384"/>
      <c r="N44" s="1439"/>
    </row>
    <row r="45" spans="1:14" s="29" customFormat="1" ht="17.399999999999999" hidden="1" customHeight="1">
      <c r="A45" s="144"/>
      <c r="B45" s="144"/>
      <c r="C45" s="144"/>
      <c r="D45" s="144"/>
      <c r="E45" s="137" t="s">
        <v>274</v>
      </c>
      <c r="F45" s="1454"/>
      <c r="G45" s="1899" t="str">
        <f>IF(SUM(F45:F47)&gt;Total_Units,"  The number of Rental Assistance Units entered exceeds Total Units.","")</f>
        <v/>
      </c>
      <c r="H45" s="1899"/>
      <c r="I45" s="1899"/>
      <c r="J45" s="1203"/>
      <c r="K45" s="1421">
        <f>IF(M$38=0,0,N45)</f>
        <v>0</v>
      </c>
      <c r="L45" s="384">
        <f>IF(AND(K45&lt;&gt;0,F45&lt;&gt;""),K45,0)</f>
        <v>0</v>
      </c>
      <c r="M45" s="375" t="str">
        <f>CHOOSE(K45+1,"Not to be included in this RFA","A REQUIRED input field for this RFA","An OPTIONAL input field for this RFA")</f>
        <v>Not to be included in this RFA</v>
      </c>
      <c r="N45" s="753">
        <v>0</v>
      </c>
    </row>
    <row r="46" spans="1:14" s="29" customFormat="1" ht="17.399999999999999" hidden="1" customHeight="1">
      <c r="A46" s="144"/>
      <c r="B46" s="144"/>
      <c r="C46" s="144"/>
      <c r="D46" s="144"/>
      <c r="E46" s="137" t="s">
        <v>275</v>
      </c>
      <c r="F46" s="1607"/>
      <c r="H46" s="86"/>
      <c r="I46" s="144"/>
      <c r="J46" s="1203"/>
      <c r="K46" s="1421">
        <f>IF(M$38=0,0,N46)</f>
        <v>0</v>
      </c>
      <c r="L46" s="384">
        <f>IF(AND(K46&lt;&gt;0,F46&lt;&gt;""),K46,0)</f>
        <v>0</v>
      </c>
      <c r="M46" s="375" t="str">
        <f>CHOOSE(K46+1,"Not to be included in this RFA","A REQUIRED input field for this RFA","An OPTIONAL input field for this RFA")</f>
        <v>Not to be included in this RFA</v>
      </c>
      <c r="N46" s="588">
        <v>0</v>
      </c>
    </row>
    <row r="47" spans="1:14" s="29" customFormat="1" ht="17.399999999999999" hidden="1" customHeight="1">
      <c r="A47" s="144"/>
      <c r="B47" s="144"/>
      <c r="C47" s="144"/>
      <c r="D47" s="144"/>
      <c r="E47" s="137" t="s">
        <v>276</v>
      </c>
      <c r="F47" s="1607"/>
      <c r="G47" s="683" t="s">
        <v>1541</v>
      </c>
      <c r="H47" s="1608" t="s">
        <v>2</v>
      </c>
      <c r="I47" s="144"/>
      <c r="J47" s="1384"/>
      <c r="K47" s="1421">
        <f>IF(M$38=0,0,N47)</f>
        <v>0</v>
      </c>
      <c r="L47" s="384">
        <f>IF(AND(K47&lt;&gt;0,F47&lt;&gt;""),K47,0)</f>
        <v>0</v>
      </c>
      <c r="M47" s="375" t="str">
        <f>CHOOSE(K47+1,"Not to be included in this RFA","A REQUIRED input field for this RFA","An OPTIONAL input field for this RFA")</f>
        <v>Not to be included in this RFA</v>
      </c>
      <c r="N47" s="1390">
        <v>0</v>
      </c>
    </row>
    <row r="48" spans="1:14" s="29" customFormat="1" ht="10.35" hidden="1" customHeight="1">
      <c r="A48" s="892"/>
      <c r="B48" s="892"/>
      <c r="C48" s="892"/>
      <c r="D48" s="892"/>
      <c r="E48" s="970"/>
      <c r="F48" s="1197"/>
      <c r="G48" s="971"/>
      <c r="H48" s="93"/>
      <c r="I48" s="30"/>
      <c r="J48" s="1384"/>
      <c r="K48" s="1122"/>
      <c r="L48" s="890"/>
      <c r="M48" s="894"/>
    </row>
    <row r="49" spans="1:15" s="29" customFormat="1" ht="19.5" hidden="1" customHeight="1">
      <c r="A49" s="1020"/>
      <c r="B49" s="1020"/>
      <c r="C49" s="1020"/>
      <c r="D49" s="1020"/>
      <c r="E49" s="970"/>
      <c r="F49" s="1197"/>
      <c r="G49" s="971"/>
      <c r="H49" s="93"/>
      <c r="I49" s="30"/>
      <c r="J49" s="1384"/>
      <c r="K49" s="1122"/>
      <c r="L49" s="1019"/>
      <c r="M49" s="1021"/>
    </row>
    <row r="50" spans="1:15" s="29" customFormat="1" ht="45.75" hidden="1" customHeight="1">
      <c r="A50" s="144"/>
      <c r="B50" s="144"/>
      <c r="C50" s="144"/>
      <c r="D50" s="144"/>
      <c r="E50" s="1855" t="str">
        <f>IF(SUM(F45:F47)=0,"","The "&amp;TEXT(SUM(F45:F47),"0")&amp;" unit"&amp;IF(SUM(F45:F47)&gt;1,"s","")&amp;" entered to receive Rental Assistance represents "&amp;TEXT(IF(Total_Units=0,0,SUM(F45:F47)/Total_Units),"0.00%")&amp;" of Total Units. The data entered indicates the proposed Development qualifies for a Rental Assistance Level of "&amp;TEXT(Data1!F164,"0")&amp;" via the "&amp;IF(Data1!D164="Percent","Percentage of Total Units method",IF(Data1!D164="Num","Number of RA Units method",IF(Data1!D164="Both","either method","neither method")))&amp;".")</f>
        <v/>
      </c>
      <c r="F50" s="1855"/>
      <c r="G50" s="1855"/>
      <c r="H50" s="1855"/>
      <c r="I50" s="1855"/>
      <c r="J50" s="1203"/>
      <c r="K50" s="394"/>
      <c r="L50" s="390"/>
    </row>
    <row r="51" spans="1:15" s="29" customFormat="1" ht="10.35" hidden="1" customHeight="1">
      <c r="A51" s="892"/>
      <c r="B51" s="892"/>
      <c r="C51" s="892"/>
      <c r="D51" s="892"/>
      <c r="E51" s="88"/>
      <c r="F51" s="88"/>
      <c r="G51" s="88"/>
      <c r="H51" s="88"/>
      <c r="I51" s="892"/>
      <c r="J51" s="1203"/>
      <c r="K51" s="394"/>
      <c r="L51" s="390"/>
    </row>
    <row r="52" spans="1:15" s="36" customFormat="1" ht="14.4" hidden="1" customHeight="1">
      <c r="A52" s="35"/>
      <c r="B52" s="579" t="str">
        <f>IF($K$54=0,"",MAX(B$6:B50)+1)</f>
        <v/>
      </c>
      <c r="C52" s="34" t="s">
        <v>277</v>
      </c>
      <c r="D52" s="33"/>
      <c r="F52" s="34"/>
      <c r="G52" s="35"/>
      <c r="H52" s="143"/>
      <c r="I52" s="35"/>
      <c r="J52" s="1203"/>
      <c r="K52" s="394"/>
      <c r="L52" s="390"/>
    </row>
    <row r="53" spans="1:15" s="36" customFormat="1" ht="34.35" hidden="1" customHeight="1">
      <c r="A53" s="35"/>
      <c r="B53" s="35"/>
      <c r="C53" s="35"/>
      <c r="D53" s="1829" t="s">
        <v>278</v>
      </c>
      <c r="E53" s="1829"/>
      <c r="F53" s="1829"/>
      <c r="G53" s="1829"/>
      <c r="H53" s="1829"/>
      <c r="I53" s="1829"/>
      <c r="J53" s="1203"/>
      <c r="K53" s="394"/>
      <c r="L53" s="390"/>
    </row>
    <row r="54" spans="1:15" s="36" customFormat="1" ht="17.399999999999999" hidden="1" customHeight="1">
      <c r="A54" s="35"/>
      <c r="B54" s="35"/>
      <c r="C54" s="35"/>
      <c r="D54" s="1836" t="s">
        <v>2</v>
      </c>
      <c r="E54" s="1836"/>
      <c r="G54" s="35"/>
      <c r="H54" s="141"/>
      <c r="I54" s="35"/>
      <c r="J54" s="1203"/>
      <c r="K54" s="588">
        <v>0</v>
      </c>
      <c r="L54" s="390">
        <f>IF(AND(K54&lt;&gt;0,AND(D54&lt;&gt;"&lt;select one&gt;",D54&lt;&gt;"")),K54,0)</f>
        <v>0</v>
      </c>
      <c r="M54" s="375" t="str">
        <f>CHOOSE(K54+1,"Not to be included in this RFA","A REQUIRED input field for this RFA","An OPTIONAL input field for this RFA")</f>
        <v>Not to be included in this RFA</v>
      </c>
    </row>
    <row r="55" spans="1:15" s="37" customFormat="1" ht="8.25" hidden="1" customHeight="1">
      <c r="A55" s="34"/>
      <c r="B55" s="34"/>
      <c r="C55" s="34"/>
      <c r="D55" s="34"/>
      <c r="E55" s="61"/>
      <c r="F55" s="34"/>
      <c r="G55" s="34"/>
      <c r="H55" s="141"/>
      <c r="I55" s="34"/>
      <c r="J55" s="1203"/>
      <c r="K55" s="394"/>
      <c r="L55" s="391"/>
    </row>
    <row r="56" spans="1:15" s="36" customFormat="1" ht="45.9" hidden="1" customHeight="1">
      <c r="A56" s="35"/>
      <c r="B56" s="35"/>
      <c r="C56" s="35"/>
      <c r="D56" s="35"/>
      <c r="E56" s="1828" t="s">
        <v>279</v>
      </c>
      <c r="F56" s="1828"/>
      <c r="G56" s="1828"/>
      <c r="H56" s="1828"/>
      <c r="I56" s="1828"/>
      <c r="J56" s="1203"/>
      <c r="K56" s="393"/>
      <c r="L56" s="390"/>
      <c r="O56" s="1121"/>
    </row>
    <row r="57" spans="1:15" s="36" customFormat="1" ht="10.35" hidden="1" customHeight="1">
      <c r="A57" s="35"/>
      <c r="B57" s="35"/>
      <c r="C57" s="35"/>
      <c r="D57" s="35"/>
      <c r="E57" s="141"/>
      <c r="F57" s="141"/>
      <c r="G57" s="141"/>
      <c r="H57" s="141"/>
      <c r="I57" s="35"/>
      <c r="J57" s="1203"/>
      <c r="K57" s="393"/>
      <c r="L57" s="390"/>
      <c r="O57" s="1121"/>
    </row>
    <row r="58" spans="1:15" s="29" customFormat="1" ht="14.4" customHeight="1">
      <c r="A58" s="1181" t="str" cm="1">
        <f t="array" ref="A58">IF($K59=0,"",CHAR(CODE(LOOKUP(2,1/(COUNTIF(A$3:A57,"&gt;"&amp;A$3:A57&amp;"*")=0),A$3:A57))+1))</f>
        <v>c</v>
      </c>
      <c r="B58" s="174" t="s">
        <v>280</v>
      </c>
      <c r="C58" s="174"/>
      <c r="D58" s="174"/>
      <c r="E58" s="174"/>
      <c r="F58" s="1891" t="str">
        <f>IF(C59="&lt;select one&gt;","",IF(H$87&lt;Total_Units,"(Please complete the Unit Characteristics table in "&amp;A67&amp;". below)",IF(DS_UnitTypeMatch=1,"(Your selection for Development Type is confirmed by the Unit Characteristics table below)","(Your selection for Development Type is NOT confirmed by the Unit Characteristics table below"&amp;IF(Other_ESS_NC_units+Other_Non_ESS_NC_units+Other_ESS_Rehab_units&gt;Data1!B174,", unless the 'Other Dev Type*' unit description is comprised of more than 1 eligible Development Type and one of those Types has at least "&amp;TEXT(Data1!D174,"0")&amp;" units","")&amp;")")))</f>
        <v/>
      </c>
      <c r="G58" s="1891"/>
      <c r="H58" s="1891"/>
      <c r="I58" s="1891"/>
      <c r="J58" s="387"/>
      <c r="K58" s="393"/>
      <c r="L58" s="390"/>
      <c r="O58" s="1121"/>
    </row>
    <row r="59" spans="1:15" s="29" customFormat="1" ht="17.399999999999999" customHeight="1">
      <c r="A59" s="144"/>
      <c r="B59" s="144"/>
      <c r="C59" s="1836" t="s">
        <v>2</v>
      </c>
      <c r="D59" s="1836"/>
      <c r="E59" s="1836"/>
      <c r="F59" s="1891"/>
      <c r="G59" s="1891"/>
      <c r="H59" s="1891"/>
      <c r="I59" s="1891"/>
      <c r="J59" s="387"/>
      <c r="K59" s="588">
        <v>1</v>
      </c>
      <c r="L59" s="390">
        <f>IF(AND(K59&lt;&gt;0,AND(C59&lt;&gt;"&lt;select one&gt;",C59&lt;&gt;"")),K59,0)</f>
        <v>0</v>
      </c>
      <c r="M59" s="375" t="str">
        <f>CHOOSE(K59+1,"Not to be included in this RFA","A REQUIRED input field for this RFA","An OPTIONAL input field for this RFA")</f>
        <v>A REQUIRED input field for this RFA</v>
      </c>
      <c r="O59" s="1121"/>
    </row>
    <row r="60" spans="1:15" s="29" customFormat="1" ht="8.25" customHeight="1">
      <c r="A60" s="144"/>
      <c r="B60" s="144"/>
      <c r="C60" s="144"/>
      <c r="D60" s="144"/>
      <c r="E60" s="38"/>
      <c r="F60" s="1891"/>
      <c r="G60" s="1891"/>
      <c r="H60" s="1891"/>
      <c r="I60" s="1891"/>
      <c r="J60" s="387"/>
      <c r="K60" s="393"/>
      <c r="L60" s="390"/>
      <c r="O60" s="1121"/>
    </row>
    <row r="61" spans="1:15" s="29" customFormat="1" ht="45" customHeight="1">
      <c r="A61" s="1126"/>
      <c r="B61" s="1126"/>
      <c r="D61" s="1892" t="str">
        <f>"Based on the input in the Unit Characteristics Table below, "&amp;IF(OR(N(Total_Units)=0,N(total_units_in_unit_desc_chart)&lt;&gt;N(Total_Units)),"the predominant unit type is yet to be determined as the table input is not complete.","there "&amp;IF(Data1!O166&gt;1,"are ","is ")&amp;Data1!O166&amp;" predominant unit type"&amp;IF(Data1!O166&gt;1,"s and they are "," and it is ")&amp;Data1!O174&amp;".")</f>
        <v>Based on the input in the Unit Characteristics Table below, the predominant unit type is yet to be determined as the table input is not complete.</v>
      </c>
      <c r="E61" s="1892"/>
      <c r="F61" s="1892"/>
      <c r="G61" s="1892"/>
      <c r="H61" s="1892"/>
      <c r="I61" s="1892"/>
      <c r="J61" s="387"/>
      <c r="K61" s="393"/>
      <c r="L61" s="390"/>
      <c r="M61" s="1154"/>
      <c r="O61" s="1121"/>
    </row>
    <row r="62" spans="1:15" s="29" customFormat="1" ht="6.75" customHeight="1">
      <c r="A62" s="1126"/>
      <c r="B62" s="1126"/>
      <c r="C62" s="1126"/>
      <c r="D62" s="1126"/>
      <c r="E62" s="38"/>
      <c r="F62" s="1130"/>
      <c r="G62" s="1130"/>
      <c r="H62" s="1130"/>
      <c r="I62" s="1130"/>
      <c r="J62" s="387"/>
      <c r="K62" s="393"/>
      <c r="L62" s="390"/>
      <c r="O62" s="1121"/>
    </row>
    <row r="63" spans="1:15" s="39" customFormat="1" ht="14.4" hidden="1" customHeight="1">
      <c r="A63" s="1205" t="str" cm="1">
        <f t="array" ref="A63">IF($K65=0,"",CHAR(CODE(LOOKUP(2,1/(COUNTIF(A$3:A60,"&gt;"&amp;A$3:A60&amp;"*")=0),A$3:A60))+1))</f>
        <v/>
      </c>
      <c r="B63" s="388" t="s">
        <v>1687</v>
      </c>
      <c r="C63" s="40"/>
      <c r="D63" s="40"/>
      <c r="E63" s="40"/>
      <c r="F63" s="1203"/>
      <c r="G63" s="1203"/>
      <c r="H63" s="1204"/>
      <c r="I63" s="1203"/>
      <c r="J63" s="388"/>
      <c r="K63" s="395"/>
      <c r="L63" s="392"/>
      <c r="O63" s="1121"/>
    </row>
    <row r="64" spans="1:15" s="29" customFormat="1" ht="30" hidden="1" customHeight="1">
      <c r="A64" s="1152"/>
      <c r="B64" s="1852" t="s">
        <v>281</v>
      </c>
      <c r="C64" s="1852"/>
      <c r="D64" s="1852"/>
      <c r="E64" s="1852"/>
      <c r="F64" s="1852"/>
      <c r="G64" s="1852"/>
      <c r="H64" s="1852"/>
      <c r="I64" s="1852"/>
      <c r="J64" s="387"/>
      <c r="K64" s="393"/>
      <c r="L64" s="390"/>
      <c r="O64" s="1121"/>
    </row>
    <row r="65" spans="1:16" s="29" customFormat="1" ht="17.399999999999999" hidden="1" customHeight="1">
      <c r="A65" s="568"/>
      <c r="B65" s="40"/>
      <c r="C65" s="1836" t="s">
        <v>2</v>
      </c>
      <c r="D65" s="1836"/>
      <c r="E65" s="1836"/>
      <c r="F65" s="1142"/>
      <c r="G65" s="1143"/>
      <c r="H65" s="1142"/>
      <c r="I65" s="1143"/>
      <c r="J65" s="387"/>
      <c r="K65" s="588">
        <v>0</v>
      </c>
      <c r="L65" s="390">
        <f>IF(AND(K65&lt;&gt;0,AND(C65&lt;&gt;"&lt;select one&gt;",C65&lt;&gt;"")),K65,0)</f>
        <v>0</v>
      </c>
      <c r="M65" s="1373" t="str">
        <f>CHOOSE(K65+1,"Not to be included in this RFA","A REQUIRED input field for this RFA","An OPTIONAL input field for this RFA")</f>
        <v>Not to be included in this RFA</v>
      </c>
    </row>
    <row r="66" spans="1:16" s="29" customFormat="1" ht="6.75" hidden="1" customHeight="1">
      <c r="A66" s="144"/>
      <c r="B66" s="144"/>
      <c r="C66" s="144"/>
      <c r="D66" s="144"/>
      <c r="E66" s="144"/>
      <c r="F66" s="1143"/>
      <c r="G66" s="1143"/>
      <c r="H66" s="1143"/>
      <c r="I66" s="1143"/>
      <c r="J66" s="387"/>
      <c r="K66" s="393"/>
      <c r="L66" s="390"/>
    </row>
    <row r="67" spans="1:16" s="29" customFormat="1" ht="14.4" customHeight="1">
      <c r="A67" s="1181" t="str" cm="1">
        <f t="array" ref="A67">IF(SUM($K72:$K86)=0,"",CHAR(CODE(LOOKUP(2,1/(COUNTIF(A$3:A66,"&gt;"&amp;A$3:A66&amp;"*")=0),A$3:A66))+1))</f>
        <v>d</v>
      </c>
      <c r="B67" s="174" t="s">
        <v>282</v>
      </c>
      <c r="C67" s="174"/>
      <c r="D67" s="174"/>
      <c r="E67" s="174"/>
      <c r="F67" s="174"/>
      <c r="G67" s="174"/>
      <c r="H67" s="174"/>
      <c r="I67" s="143"/>
      <c r="J67" s="387"/>
      <c r="K67" s="393"/>
      <c r="L67" s="390"/>
    </row>
    <row r="68" spans="1:16" s="29" customFormat="1" ht="47.25" customHeight="1">
      <c r="A68" s="144"/>
      <c r="B68" s="1829" t="s">
        <v>283</v>
      </c>
      <c r="C68" s="1829"/>
      <c r="D68" s="1829"/>
      <c r="E68" s="1829"/>
      <c r="F68" s="1829"/>
      <c r="G68" s="1829"/>
      <c r="H68" s="1829"/>
      <c r="I68" s="1829"/>
      <c r="J68" s="387"/>
      <c r="K68" s="393"/>
      <c r="L68" s="390"/>
    </row>
    <row r="69" spans="1:16" ht="10.35" customHeight="1">
      <c r="A69" s="16"/>
      <c r="B69" s="41"/>
      <c r="C69" s="41"/>
      <c r="D69" s="41"/>
      <c r="E69" s="41"/>
      <c r="F69" s="149"/>
      <c r="G69" s="149"/>
      <c r="H69" s="149"/>
      <c r="I69" s="149"/>
      <c r="J69" s="377"/>
      <c r="K69" s="393"/>
      <c r="L69" s="390"/>
    </row>
    <row r="70" spans="1:16" ht="18" customHeight="1">
      <c r="A70" s="16"/>
      <c r="B70" s="578"/>
      <c r="C70" s="1877" t="s">
        <v>284</v>
      </c>
      <c r="D70" s="1878"/>
      <c r="E70" s="1878"/>
      <c r="F70" s="1878"/>
      <c r="G70" s="1879"/>
      <c r="H70" s="1874" t="s">
        <v>285</v>
      </c>
      <c r="I70" s="1889" t="s">
        <v>1166</v>
      </c>
      <c r="J70" s="377"/>
      <c r="K70" s="393"/>
      <c r="L70" s="390"/>
    </row>
    <row r="71" spans="1:16" ht="18" customHeight="1">
      <c r="A71" s="16"/>
      <c r="B71" s="578"/>
      <c r="C71" s="1880"/>
      <c r="D71" s="1881"/>
      <c r="E71" s="1881"/>
      <c r="F71" s="1881"/>
      <c r="G71" s="1882"/>
      <c r="H71" s="1874"/>
      <c r="I71" s="1889"/>
      <c r="J71" s="377"/>
      <c r="K71" s="393"/>
      <c r="L71" s="390"/>
    </row>
    <row r="72" spans="1:16" ht="17.399999999999999" customHeight="1">
      <c r="A72" s="16"/>
      <c r="B72" s="1890"/>
      <c r="C72" s="1883" t="s">
        <v>17</v>
      </c>
      <c r="D72" s="1884"/>
      <c r="E72" s="577" t="s">
        <v>286</v>
      </c>
      <c r="F72" s="1875" t="s">
        <v>287</v>
      </c>
      <c r="G72" s="1876"/>
      <c r="H72" s="1609"/>
      <c r="I72" s="618">
        <f>DS_Lev_MP_GA*DS_LEV_MP_ESS</f>
        <v>1</v>
      </c>
      <c r="J72" s="1710" t="str">
        <f>IF(H$87=0,"",IF(COUNTIF(H$72:H$86,MAX(H$72:H$86))=1,"",IF(COUNTA(F$72:F72)=IFERROR(MATCH(MAX(H$72:H$86),H$72:H$86,0),""),"",IF(N(H72)=MAX(H$72:H$86),COUNTA(F$72:F72),""))))</f>
        <v/>
      </c>
      <c r="K72" s="588">
        <f>IF(N72=1,IF(OR(AND(H$87&lt;Total_Units,H72=0),AND(H$87=Total_Units,H72&gt;0)),1,2),N72)</f>
        <v>2</v>
      </c>
      <c r="L72" s="384">
        <f>IF(AND(K72&lt;&gt;0,H72&lt;&gt;""),K72,0)</f>
        <v>0</v>
      </c>
      <c r="M72" s="375" t="str">
        <f t="shared" ref="M72:M86" si="0">CHOOSE(K72+1,"Not to be included in this RFA","A REQUIRED input field for this RFA","An OPTIONAL input field for this RFA")</f>
        <v>An OPTIONAL input field for this RFA</v>
      </c>
      <c r="N72" s="588">
        <v>1</v>
      </c>
      <c r="O72" s="386"/>
    </row>
    <row r="73" spans="1:16" ht="17.399999999999999" customHeight="1">
      <c r="A73" s="16"/>
      <c r="B73" s="1890"/>
      <c r="C73" s="1885"/>
      <c r="D73" s="1886"/>
      <c r="E73" s="80" t="s">
        <v>286</v>
      </c>
      <c r="F73" s="1875" t="s">
        <v>288</v>
      </c>
      <c r="G73" s="1876"/>
      <c r="H73" s="1610"/>
      <c r="I73" s="618">
        <f>DS_Lev_MP_GA*1</f>
        <v>1</v>
      </c>
      <c r="J73" s="1710" t="str">
        <f>IF(H$87=0,"",IF(COUNTIF(H$72:H$86,MAX(H$72:H$86))=1,"",IF(COUNTA(F$72:F73)=IFERROR(MATCH(MAX(H$72:H$86),H$72:H$86,0),""),"",IF(N(H73)=MAX(H$72:H$86),COUNTA(F$72:F73),""))))</f>
        <v/>
      </c>
      <c r="K73" s="1694">
        <f>IF(N73=1,IF(OR(AND(H$87&lt;Total_Units,COUNTIF(K$72:K72,1)=0,H73=0),AND(H$87=Total_Units,H73&gt;0)),1,2),N73)</f>
        <v>2</v>
      </c>
      <c r="L73" s="384">
        <f t="shared" ref="L73:L86" si="1">IF(AND(K73&lt;&gt;0,H73&lt;&gt;""),K73,0)</f>
        <v>0</v>
      </c>
      <c r="M73" s="375" t="str">
        <f t="shared" si="0"/>
        <v>An OPTIONAL input field for this RFA</v>
      </c>
      <c r="N73" s="1390">
        <v>1</v>
      </c>
      <c r="O73" s="1148"/>
      <c r="P73" s="19"/>
    </row>
    <row r="74" spans="1:16" ht="17.399999999999999" customHeight="1">
      <c r="A74" s="16"/>
      <c r="B74" s="1890"/>
      <c r="C74" s="1885"/>
      <c r="D74" s="1886"/>
      <c r="E74" s="80" t="s">
        <v>289</v>
      </c>
      <c r="F74" s="1875" t="s">
        <v>287</v>
      </c>
      <c r="G74" s="1876"/>
      <c r="H74" s="1610"/>
      <c r="I74" s="618">
        <f>DS_Lev_MP_MR*DS_LEV_MP_ESS</f>
        <v>1</v>
      </c>
      <c r="J74" s="1710" t="str">
        <f>IF(H$87=0,"",IF(COUNTIF(H$72:H$86,MAX(H$72:H$86))=1,"",IF(COUNTA(F$72:F74)=IFERROR(MATCH(MAX(H$72:H$86),H$72:H$86,0),""),"",IF(N(H74)=MAX(H$72:H$86),COUNTA(F$72:F74),""))))</f>
        <v/>
      </c>
      <c r="K74" s="1694">
        <f>IF(N74=1,IF(OR(AND(H$87&lt;Total_Units,COUNTIF(K$72:K73,1)=0,H74=0),AND(H$87=Total_Units,H74&gt;0)),1,2),N74)</f>
        <v>2</v>
      </c>
      <c r="L74" s="384">
        <f t="shared" si="1"/>
        <v>0</v>
      </c>
      <c r="M74" s="375" t="str">
        <f t="shared" si="0"/>
        <v>An OPTIONAL input field for this RFA</v>
      </c>
      <c r="N74" s="1390">
        <v>1</v>
      </c>
      <c r="O74" s="1148"/>
      <c r="P74" s="19"/>
    </row>
    <row r="75" spans="1:16" ht="17.399999999999999" customHeight="1">
      <c r="A75" s="16"/>
      <c r="B75" s="1890"/>
      <c r="C75" s="1885"/>
      <c r="D75" s="1886"/>
      <c r="E75" s="80" t="s">
        <v>289</v>
      </c>
      <c r="F75" s="1875" t="s">
        <v>288</v>
      </c>
      <c r="G75" s="1876"/>
      <c r="H75" s="1610"/>
      <c r="I75" s="618">
        <f>DS_Lev_MP_MR*1</f>
        <v>1</v>
      </c>
      <c r="J75" s="1710" t="str">
        <f>IF(H$87=0,"",IF(COUNTIF(H$72:H$86,MAX(H$72:H$86))=1,"",IF(COUNTA(F$72:F75)=IFERROR(MATCH(MAX(H$72:H$86),H$72:H$86,0),""),"",IF(N(H75)=MAX(H$72:H$86),COUNTA(F$72:F75),""))))</f>
        <v/>
      </c>
      <c r="K75" s="1694">
        <f>IF(N75=1,IF(OR(AND(H$87&lt;Total_Units,COUNTIF(K$72:K74,1)=0,H75=0),AND(H$87=Total_Units,H75&gt;0)),1,2),N75)</f>
        <v>2</v>
      </c>
      <c r="L75" s="384">
        <f t="shared" si="1"/>
        <v>0</v>
      </c>
      <c r="M75" s="375" t="str">
        <f t="shared" si="0"/>
        <v>An OPTIONAL input field for this RFA</v>
      </c>
      <c r="N75" s="1390">
        <v>1</v>
      </c>
      <c r="O75" s="1148"/>
      <c r="P75" s="19"/>
    </row>
    <row r="76" spans="1:16" ht="17.399999999999999" hidden="1" customHeight="1">
      <c r="A76" s="16"/>
      <c r="B76" s="1890"/>
      <c r="C76" s="1885"/>
      <c r="D76" s="1886"/>
      <c r="E76" s="80" t="s">
        <v>116</v>
      </c>
      <c r="F76" s="1875" t="s">
        <v>287</v>
      </c>
      <c r="G76" s="1876"/>
      <c r="H76" s="1610"/>
      <c r="I76" s="618">
        <f>DS_Lev_MP_HR*DS_LEV_MP_ESS</f>
        <v>1</v>
      </c>
      <c r="J76" s="1710" t="str">
        <f>IF(H$87=0,"",IF(COUNTIF(H$72:H$86,MAX(H$72:H$86))=1,"",IF(COUNTA(F$72:F76)=IFERROR(MATCH(MAX(H$72:H$86),H$72:H$86,0),""),"",IF(N(H76)=MAX(H$72:H$86),COUNTA(F$72:F76),""))))</f>
        <v/>
      </c>
      <c r="K76" s="1694">
        <f>IF(N76=1,IF(OR(AND(H$87&lt;Total_Units,COUNTIF(K$72:K75,1)=0,H76=0),AND(H$87=Total_Units,H76&gt;0)),1,2),N76)</f>
        <v>0</v>
      </c>
      <c r="L76" s="384">
        <f t="shared" si="1"/>
        <v>0</v>
      </c>
      <c r="M76" s="375" t="str">
        <f t="shared" si="0"/>
        <v>Not to be included in this RFA</v>
      </c>
      <c r="N76" s="1390">
        <v>0</v>
      </c>
      <c r="O76" s="1121"/>
      <c r="P76" s="1121"/>
    </row>
    <row r="77" spans="1:16" ht="17.399999999999999" hidden="1" customHeight="1">
      <c r="A77" s="639"/>
      <c r="B77" s="1890"/>
      <c r="C77" s="1885"/>
      <c r="D77" s="1886"/>
      <c r="E77" s="80" t="s">
        <v>109</v>
      </c>
      <c r="F77" s="1875" t="s">
        <v>287</v>
      </c>
      <c r="G77" s="1876"/>
      <c r="H77" s="1610"/>
      <c r="I77" s="618">
        <f>DS_Lev_MP_Oth*DS_LEV_MP_ESS</f>
        <v>1</v>
      </c>
      <c r="J77" s="1710" t="str">
        <f>IF(H$87=0,"",IF(COUNTIF(H$72:H$86,MAX(H$72:H$86))=1,"",IF(COUNTA(F$72:F77)=IFERROR(MATCH(MAX(H$72:H$86),H$72:H$86,0),""),"",IF(N(H77)=MAX(H$72:H$86),COUNTA(F$72:F77),""))))</f>
        <v/>
      </c>
      <c r="K77" s="1694">
        <f>IF(N77=1,IF(OR(AND(H$87&lt;Total_Units,COUNTIF(K$72:K76,1)=0,H77=0),AND(H$87=Total_Units,H77&gt;0)),1,2),N77)</f>
        <v>0</v>
      </c>
      <c r="L77" s="638">
        <f t="shared" ref="L77:L78" si="2">IF(AND(K77&lt;&gt;0,H77&lt;&gt;""),K77,0)</f>
        <v>0</v>
      </c>
      <c r="M77" s="640" t="str">
        <f t="shared" ref="M77:M78" si="3">CHOOSE(K77+1,"Not to be included in this RFA","A REQUIRED input field for this RFA","An OPTIONAL input field for this RFA")</f>
        <v>Not to be included in this RFA</v>
      </c>
      <c r="N77" s="1390">
        <v>0</v>
      </c>
      <c r="O77" s="1121"/>
      <c r="P77" s="19"/>
    </row>
    <row r="78" spans="1:16" ht="17.399999999999999" hidden="1" customHeight="1">
      <c r="A78" s="639"/>
      <c r="B78" s="1890"/>
      <c r="C78" s="1885"/>
      <c r="D78" s="1886"/>
      <c r="E78" s="80" t="s">
        <v>109</v>
      </c>
      <c r="F78" s="1875" t="s">
        <v>288</v>
      </c>
      <c r="G78" s="1876"/>
      <c r="H78" s="1610"/>
      <c r="I78" s="618">
        <f>DS_Lev_MP_Oth*1</f>
        <v>1</v>
      </c>
      <c r="J78" s="1710" t="str">
        <f>IF(H$87=0,"",IF(COUNTIF(H$72:H$86,MAX(H$72:H$86))=1,"",IF(COUNTA(F$72:F78)=IFERROR(MATCH(MAX(H$72:H$86),H$72:H$86,0),""),"",IF(N(H78)=MAX(H$72:H$86),COUNTA(F$72:F78),""))))</f>
        <v/>
      </c>
      <c r="K78" s="1694">
        <f>IF(N78=1,IF(OR(AND(H$87&lt;Total_Units,COUNTIF(K$72:K77,1)=0,H78=0),AND(H$87=Total_Units,H78&gt;0)),1,2),N78)</f>
        <v>0</v>
      </c>
      <c r="L78" s="638">
        <f t="shared" si="2"/>
        <v>0</v>
      </c>
      <c r="M78" s="640" t="str">
        <f t="shared" si="3"/>
        <v>Not to be included in this RFA</v>
      </c>
      <c r="N78" s="1390">
        <v>0</v>
      </c>
      <c r="O78" s="1148"/>
      <c r="P78" s="19"/>
    </row>
    <row r="79" spans="1:16" ht="17.399999999999999" customHeight="1">
      <c r="A79" s="16"/>
      <c r="B79" s="1890"/>
      <c r="C79" s="1885"/>
      <c r="D79" s="1886"/>
      <c r="E79" s="81" t="s">
        <v>290</v>
      </c>
      <c r="F79" s="1875" t="s">
        <v>287</v>
      </c>
      <c r="G79" s="1876"/>
      <c r="H79" s="1610"/>
      <c r="I79" s="618">
        <f>DS_Lev_MP_Oth*DS_LEV_MP_ESS</f>
        <v>1</v>
      </c>
      <c r="J79" s="1710" t="str">
        <f>IF(H$87=0,"",IF(COUNTIF(H$72:H$86,MAX(H$72:H$86))=1,"",IF(COUNTA(F$72:F79)=IFERROR(MATCH(MAX(H$72:H$86),H$72:H$86,0),""),"",IF(N(H79)=MAX(H$72:H$86),COUNTA(F$72:F79),""))))</f>
        <v/>
      </c>
      <c r="K79" s="1694">
        <f>IF(N79=1,IF(OR(AND(H$87&lt;Total_Units,COUNTIF(K$72:K78,1)=0,H79=0),AND(H$87=Total_Units,H79&gt;0)),1,2),N79)</f>
        <v>2</v>
      </c>
      <c r="L79" s="384">
        <f t="shared" si="1"/>
        <v>0</v>
      </c>
      <c r="M79" s="375" t="str">
        <f t="shared" si="0"/>
        <v>An OPTIONAL input field for this RFA</v>
      </c>
      <c r="N79" s="1390">
        <v>1</v>
      </c>
      <c r="O79" s="1121"/>
      <c r="P79" s="19"/>
    </row>
    <row r="80" spans="1:16" ht="17.399999999999999" customHeight="1" thickBot="1">
      <c r="A80" s="16"/>
      <c r="B80" s="1890"/>
      <c r="C80" s="1887"/>
      <c r="D80" s="1888"/>
      <c r="E80" s="81" t="s">
        <v>290</v>
      </c>
      <c r="F80" s="1875" t="s">
        <v>288</v>
      </c>
      <c r="G80" s="1876"/>
      <c r="H80" s="1610"/>
      <c r="I80" s="618">
        <f>DS_Lev_MP_Oth*1</f>
        <v>1</v>
      </c>
      <c r="J80" s="1710" t="str">
        <f>IF(H$87=0,"",IF(COUNTIF(H$72:H$86,MAX(H$72:H$86))=1,"",IF(COUNTA(F$72:F80)=IFERROR(MATCH(MAX(H$72:H$86),H$72:H$86,0),""),"",IF(N(H80)=MAX(H$72:H$86),COUNTA(F$72:F80),""))))</f>
        <v/>
      </c>
      <c r="K80" s="1694">
        <f>IF(N80=1,IF(OR(AND(H$87&lt;Total_Units,COUNTIF(K$72:K79,1)=0,H80=0),AND(H$87=Total_Units,H80&gt;0)),1,2),N80)</f>
        <v>2</v>
      </c>
      <c r="L80" s="384">
        <f t="shared" si="1"/>
        <v>0</v>
      </c>
      <c r="M80" s="375" t="str">
        <f t="shared" si="0"/>
        <v>An OPTIONAL input field for this RFA</v>
      </c>
      <c r="N80" s="1390">
        <v>1</v>
      </c>
      <c r="O80" s="1148"/>
      <c r="P80" s="19"/>
    </row>
    <row r="81" spans="1:16" ht="17.399999999999999" hidden="1" customHeight="1">
      <c r="A81" s="16"/>
      <c r="B81" s="1871"/>
      <c r="C81" s="1893" t="s">
        <v>291</v>
      </c>
      <c r="D81" s="1894"/>
      <c r="E81" s="152" t="s">
        <v>286</v>
      </c>
      <c r="F81" s="1872" t="s">
        <v>287</v>
      </c>
      <c r="G81" s="1872"/>
      <c r="H81" s="1610"/>
      <c r="I81" s="618">
        <v>1</v>
      </c>
      <c r="J81" s="1710" t="str">
        <f>IF(H$87=0,"",IF(COUNTIF(H$72:H$86,MAX(H$72:H$86))=1,"",IF(COUNTA(F$72:F81)=IFERROR(MATCH(MAX(H$72:H$86),H$72:H$86,0),""),"",IF(N(H81)=MAX(H$72:H$86),COUNTA(F$72:F81),""))))</f>
        <v/>
      </c>
      <c r="K81" s="1694">
        <f>IF(N81=1,IF(OR(AND(H$87&lt;Total_Units,COUNTIF(K$72:K80,1)=0,H81=0),AND(H$87=Total_Units,H81&gt;0)),1,2),N81)</f>
        <v>0</v>
      </c>
      <c r="L81" s="384">
        <f t="shared" si="1"/>
        <v>0</v>
      </c>
      <c r="M81" s="375" t="str">
        <f t="shared" si="0"/>
        <v>Not to be included in this RFA</v>
      </c>
      <c r="N81" s="1390">
        <v>0</v>
      </c>
      <c r="O81" s="1148"/>
      <c r="P81" s="19"/>
    </row>
    <row r="82" spans="1:16" ht="17.399999999999999" hidden="1" customHeight="1">
      <c r="A82" s="16"/>
      <c r="B82" s="1871"/>
      <c r="C82" s="1895"/>
      <c r="D82" s="1896"/>
      <c r="E82" s="1127" t="s">
        <v>286</v>
      </c>
      <c r="F82" s="1872" t="s">
        <v>288</v>
      </c>
      <c r="G82" s="1872"/>
      <c r="H82" s="1610"/>
      <c r="I82" s="618">
        <v>1</v>
      </c>
      <c r="J82" s="1710" t="str">
        <f>IF(H$87=0,"",IF(COUNTIF(H$72:H$86,MAX(H$72:H$86))=1,"",IF(COUNTA(F$72:F82)=IFERROR(MATCH(MAX(H$72:H$86),H$72:H$86,0),""),"",IF(N(H82)=MAX(H$72:H$86),COUNTA(F$72:F82),""))))</f>
        <v/>
      </c>
      <c r="K82" s="1694">
        <f>IF(N82=1,IF(OR(AND(H$87&lt;Total_Units,COUNTIF(K$72:K81,1)=0,H82=0),AND(H$87=Total_Units,H82&gt;0)),1,2),N82)</f>
        <v>0</v>
      </c>
      <c r="L82" s="384">
        <f t="shared" si="1"/>
        <v>0</v>
      </c>
      <c r="M82" s="375" t="str">
        <f t="shared" si="0"/>
        <v>Not to be included in this RFA</v>
      </c>
      <c r="N82" s="1390">
        <v>0</v>
      </c>
      <c r="O82" s="386"/>
    </row>
    <row r="83" spans="1:16" ht="17.399999999999999" hidden="1" customHeight="1">
      <c r="A83" s="1128"/>
      <c r="B83" s="1871"/>
      <c r="C83" s="1895"/>
      <c r="D83" s="1896"/>
      <c r="E83" s="1127" t="s">
        <v>292</v>
      </c>
      <c r="F83" s="1873" t="s">
        <v>287</v>
      </c>
      <c r="G83" s="1873"/>
      <c r="H83" s="1610"/>
      <c r="I83" s="618">
        <v>1</v>
      </c>
      <c r="J83" s="1710" t="str">
        <f>IF(H$87=0,"",IF(COUNTIF(H$72:H$86,MAX(H$72:H$86))=1,"",IF(COUNTA(F$72:F83)=IFERROR(MATCH(MAX(H$72:H$86),H$72:H$86,0),""),"",IF(N(H83)=MAX(H$72:H$86),COUNTA(F$72:F83),""))))</f>
        <v/>
      </c>
      <c r="K83" s="1694">
        <f>IF(N83=1,IF(OR(AND(H$87&lt;Total_Units,COUNTIF(K$72:K82,1)=0,H83=0),AND(H$87=Total_Units,H83&gt;0)),1,2),N83)</f>
        <v>0</v>
      </c>
      <c r="L83" s="1124">
        <f>IF(AND(K83&lt;&gt;0,H83&lt;&gt;""),K83,0)</f>
        <v>0</v>
      </c>
      <c r="M83" s="1125" t="str">
        <f>CHOOSE(K83+1,"Not to be included in this RFA","A REQUIRED input field for this RFA","An OPTIONAL input field for this RFA")</f>
        <v>Not to be included in this RFA</v>
      </c>
      <c r="N83" s="1390">
        <v>0</v>
      </c>
      <c r="O83" s="386"/>
    </row>
    <row r="84" spans="1:16" ht="17.399999999999999" hidden="1" customHeight="1">
      <c r="A84" s="1128"/>
      <c r="B84" s="1871"/>
      <c r="C84" s="1895"/>
      <c r="D84" s="1896"/>
      <c r="E84" s="1127" t="s">
        <v>292</v>
      </c>
      <c r="F84" s="1873" t="s">
        <v>288</v>
      </c>
      <c r="G84" s="1873"/>
      <c r="H84" s="1610"/>
      <c r="I84" s="618">
        <v>1</v>
      </c>
      <c r="J84" s="1710" t="str">
        <f>IF(H$87=0,"",IF(COUNTIF(H$72:H$86,MAX(H$72:H$86))=1,"",IF(COUNTA(F$72:F84)=IFERROR(MATCH(MAX(H$72:H$86),H$72:H$86,0),""),"",IF(N(H84)=MAX(H$72:H$86),COUNTA(F$72:F84),""))))</f>
        <v/>
      </c>
      <c r="K84" s="1694">
        <f>IF(N84=1,IF(OR(AND(H$87&lt;Total_Units,COUNTIF(K$72:K83,1)=0,H84=0),AND(H$87=Total_Units,H84&gt;0)),1,2),N84)</f>
        <v>0</v>
      </c>
      <c r="L84" s="1124">
        <f>IF(AND(K84&lt;&gt;0,H84&lt;&gt;""),K84,0)</f>
        <v>0</v>
      </c>
      <c r="M84" s="1125" t="str">
        <f>CHOOSE(K84+1,"Not to be included in this RFA","A REQUIRED input field for this RFA","An OPTIONAL input field for this RFA")</f>
        <v>Not to be included in this RFA</v>
      </c>
      <c r="N84" s="1390">
        <v>0</v>
      </c>
      <c r="O84" s="386"/>
    </row>
    <row r="85" spans="1:16" ht="17.399999999999999" hidden="1" customHeight="1">
      <c r="A85" s="1128"/>
      <c r="B85" s="1871"/>
      <c r="C85" s="1895"/>
      <c r="D85" s="1896"/>
      <c r="E85" s="81" t="s">
        <v>290</v>
      </c>
      <c r="F85" s="1873" t="s">
        <v>287</v>
      </c>
      <c r="G85" s="1873"/>
      <c r="H85" s="1610"/>
      <c r="I85" s="1200">
        <v>1</v>
      </c>
      <c r="J85" s="1710" t="str">
        <f>IF(H$87=0,"",IF(COUNTIF(H$72:H$86,MAX(H$72:H$86))=1,"",IF(COUNTA(F$72:F85)=IFERROR(MATCH(MAX(H$72:H$86),H$72:H$86,0),""),"",IF(N(H85)=MAX(H$72:H$86),COUNTA(F$72:F85),""))))</f>
        <v/>
      </c>
      <c r="K85" s="1694">
        <f>IF(N85=1,IF(OR(AND(H$87&lt;Total_Units,COUNTIF(K$72:K84,1)=0,H85=0),AND(H$87=Total_Units,H85&gt;0)),1,2),N85)</f>
        <v>0</v>
      </c>
      <c r="L85" s="1124">
        <f>IF(AND(K85&lt;&gt;0,H85&lt;&gt;""),K85,0)</f>
        <v>0</v>
      </c>
      <c r="M85" s="1125" t="str">
        <f>CHOOSE(K85+1,"Not to be included in this RFA","A REQUIRED input field for this RFA","An OPTIONAL input field for this RFA")</f>
        <v>Not to be included in this RFA</v>
      </c>
      <c r="N85" s="1390">
        <v>0</v>
      </c>
      <c r="O85" s="386"/>
    </row>
    <row r="86" spans="1:16" ht="17.399999999999999" hidden="1" customHeight="1" thickBot="1">
      <c r="A86" s="16"/>
      <c r="B86" s="1871"/>
      <c r="C86" s="1897"/>
      <c r="D86" s="1898"/>
      <c r="E86" s="81" t="s">
        <v>290</v>
      </c>
      <c r="F86" s="1873" t="s">
        <v>288</v>
      </c>
      <c r="G86" s="1873"/>
      <c r="H86" s="1612"/>
      <c r="I86" s="1200">
        <v>1</v>
      </c>
      <c r="J86" s="1710" t="str">
        <f>IF(H$87=0,"",IF(COUNTIF(H$72:H$86,MAX(H$72:H$86))=1,"",IF(COUNTA(F$72:F86)=IFERROR(MATCH(MAX(H$72:H$86),H$72:H$86,0),""),"",IF(N(H86)=MAX(H$72:H$86),COUNTA(F$72:F86),""))))</f>
        <v/>
      </c>
      <c r="K86" s="1694">
        <f>IF(N86=1,IF(OR(AND(H$87&lt;Total_Units,COUNTIF(K$72:K85,1)=0,H86=0),AND(H$87=Total_Units,H86&gt;0)),1,2),N86)</f>
        <v>0</v>
      </c>
      <c r="L86" s="384">
        <f t="shared" si="1"/>
        <v>0</v>
      </c>
      <c r="M86" s="375" t="str">
        <f t="shared" si="0"/>
        <v>Not to be included in this RFA</v>
      </c>
      <c r="N86" s="1390">
        <v>0</v>
      </c>
    </row>
    <row r="87" spans="1:16" ht="17.399999999999999" customHeight="1" thickTop="1">
      <c r="A87" s="16"/>
      <c r="B87" s="149"/>
      <c r="C87" s="149"/>
      <c r="D87" s="149"/>
      <c r="E87" s="149"/>
      <c r="F87" s="149"/>
      <c r="G87" s="154" t="s">
        <v>293</v>
      </c>
      <c r="H87" s="1611">
        <f>SUM(H72:H86)</f>
        <v>0</v>
      </c>
      <c r="I87" s="619">
        <f>IF(H87=0,0,SUMPRODUCT(H72:H86,I72:I86)/H87)</f>
        <v>0</v>
      </c>
      <c r="J87" s="1829" t="str">
        <f>IF(total_units_in_unit_desc_chart='Units, Set-Asides, Bldgs'!J3,"The number of units calculated here matches the number of units in stated at 6.a.","Attention:  The number of units calculated here does not match the number of units stated at 6.a.")</f>
        <v>The number of units calculated here matches the number of units in stated at 6.a.</v>
      </c>
      <c r="K87" s="1829"/>
      <c r="L87" s="1829"/>
      <c r="M87" s="1829"/>
      <c r="N87" s="1829"/>
      <c r="O87" s="553"/>
    </row>
    <row r="88" spans="1:16" ht="10.35" customHeight="1">
      <c r="A88" s="16"/>
      <c r="B88" s="149"/>
      <c r="C88" s="149"/>
      <c r="D88" s="149"/>
      <c r="E88" s="149"/>
      <c r="F88" s="149"/>
      <c r="G88" s="149"/>
      <c r="H88" s="16"/>
      <c r="I88" s="16"/>
      <c r="J88" s="1829"/>
      <c r="K88" s="1829"/>
      <c r="L88" s="1829"/>
      <c r="M88" s="1829"/>
      <c r="N88" s="1829"/>
      <c r="O88" s="553"/>
    </row>
    <row r="89" spans="1:16" ht="30" customHeight="1">
      <c r="A89" s="16"/>
      <c r="B89" s="1829" t="s">
        <v>1066</v>
      </c>
      <c r="C89" s="1829"/>
      <c r="D89" s="1829"/>
      <c r="E89" s="1829"/>
      <c r="F89" s="1829"/>
      <c r="G89" s="1829"/>
      <c r="H89" s="1829"/>
      <c r="I89" s="1829"/>
      <c r="J89" s="553"/>
      <c r="K89" s="553"/>
      <c r="L89" s="553"/>
      <c r="M89" s="553"/>
      <c r="N89" s="553"/>
      <c r="O89" s="553"/>
    </row>
    <row r="90" spans="1:16" ht="44.1" customHeight="1">
      <c r="B90" s="1712" t="str" cm="1">
        <f t="array" aca="1" ref="B90"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f>
        <v>** Not all decimal places of the actual number for the overall Leveraging Classification Development Type Multiplier may be displaying. Nonetheless, the full actual number will be used to calculate the Applicant's overall Corporation's funding amount in the 'Funding' tab.</v>
      </c>
      <c r="C90" s="1712"/>
      <c r="D90" s="1712"/>
      <c r="E90" s="1712"/>
      <c r="F90" s="1712"/>
      <c r="G90" s="1712"/>
      <c r="H90" s="1712"/>
      <c r="I90" s="1712"/>
    </row>
    <row r="91" spans="1:16" ht="10.35" customHeight="1">
      <c r="A91" s="386"/>
      <c r="B91" s="386"/>
      <c r="C91" s="386"/>
      <c r="D91" s="386"/>
      <c r="E91" s="386"/>
      <c r="F91" s="386"/>
      <c r="G91" s="386"/>
      <c r="H91" s="386"/>
      <c r="I91" s="386"/>
    </row>
    <row r="92" spans="1:16">
      <c r="A92" s="386"/>
      <c r="B92" s="386"/>
      <c r="C92" s="386"/>
      <c r="D92" s="386"/>
      <c r="E92" s="386"/>
      <c r="F92" s="386"/>
      <c r="G92" s="386"/>
      <c r="H92" s="386"/>
      <c r="I92" s="386"/>
    </row>
    <row r="93" spans="1:16">
      <c r="A93" s="386"/>
      <c r="B93" s="386"/>
      <c r="C93" s="386"/>
      <c r="D93" s="386"/>
      <c r="E93" s="386"/>
      <c r="F93" s="386"/>
      <c r="G93" s="386"/>
      <c r="H93" s="386"/>
      <c r="I93" s="386"/>
    </row>
    <row r="94" spans="1:16">
      <c r="A94" s="386"/>
      <c r="B94" s="386"/>
      <c r="C94" s="386"/>
      <c r="D94" s="386"/>
      <c r="E94" s="386"/>
      <c r="F94" s="386"/>
      <c r="G94" s="386"/>
      <c r="H94" s="386"/>
      <c r="I94" s="386"/>
    </row>
  </sheetData>
  <sheetProtection algorithmName="SHA-512" hashValue="g/xa6kGv/DoH4OFz++Q+kfN6HcMcUq8G6Iy0M2FkmVLcwjgJAfGUJ1of8rD9PzHlB2ovTEEo8VcF9rY0QMZDqg==" saltValue="ZC4GwBw3Y9hDbWm2/cw0Qw==" spinCount="100000" sheet="1" formatRows="0" selectLockedCells="1"/>
  <mergeCells count="50">
    <mergeCell ref="K1:U2"/>
    <mergeCell ref="B90:I90"/>
    <mergeCell ref="E56:I56"/>
    <mergeCell ref="D53:I53"/>
    <mergeCell ref="D54:E54"/>
    <mergeCell ref="C59:E59"/>
    <mergeCell ref="B89:I89"/>
    <mergeCell ref="B72:B80"/>
    <mergeCell ref="F58:I60"/>
    <mergeCell ref="D61:I61"/>
    <mergeCell ref="F78:G78"/>
    <mergeCell ref="F84:G84"/>
    <mergeCell ref="F85:G85"/>
    <mergeCell ref="C81:D86"/>
    <mergeCell ref="F83:G83"/>
    <mergeCell ref="G45:I45"/>
    <mergeCell ref="J87:N88"/>
    <mergeCell ref="H70:H71"/>
    <mergeCell ref="F72:G72"/>
    <mergeCell ref="F73:G73"/>
    <mergeCell ref="F74:G74"/>
    <mergeCell ref="F75:G75"/>
    <mergeCell ref="F76:G76"/>
    <mergeCell ref="F79:G79"/>
    <mergeCell ref="F80:G80"/>
    <mergeCell ref="C70:G71"/>
    <mergeCell ref="C72:D80"/>
    <mergeCell ref="I70:I71"/>
    <mergeCell ref="F77:G77"/>
    <mergeCell ref="B81:B86"/>
    <mergeCell ref="F81:G81"/>
    <mergeCell ref="F82:G82"/>
    <mergeCell ref="F86:G86"/>
    <mergeCell ref="C65:E65"/>
    <mergeCell ref="A1:I1"/>
    <mergeCell ref="B64:I64"/>
    <mergeCell ref="B68:I68"/>
    <mergeCell ref="B3:F3"/>
    <mergeCell ref="E40:I40"/>
    <mergeCell ref="G6:H6"/>
    <mergeCell ref="G3:I3"/>
    <mergeCell ref="I28:I36"/>
    <mergeCell ref="E50:I50"/>
    <mergeCell ref="I18:I20"/>
    <mergeCell ref="I23:I26"/>
    <mergeCell ref="E42:I42"/>
    <mergeCell ref="C28:F30"/>
    <mergeCell ref="G28:G30"/>
    <mergeCell ref="H28:H30"/>
    <mergeCell ref="I5:J7"/>
  </mergeCells>
  <conditionalFormatting sqref="G3:I3">
    <cfRule type="cellIs" dxfId="497" priority="28" operator="notEqual">
      <formula>""</formula>
    </cfRule>
  </conditionalFormatting>
  <conditionalFormatting sqref="G6:H6">
    <cfRule type="cellIs" dxfId="496" priority="30" stopIfTrue="1" operator="equal">
      <formula>""</formula>
    </cfRule>
    <cfRule type="cellIs" dxfId="495" priority="31" operator="notEqual">
      <formula>"&lt;select one&gt;"</formula>
    </cfRule>
  </conditionalFormatting>
  <conditionalFormatting sqref="F43:F47">
    <cfRule type="cellIs" dxfId="494" priority="46" operator="notEqual">
      <formula>""</formula>
    </cfRule>
  </conditionalFormatting>
  <conditionalFormatting sqref="C59">
    <cfRule type="cellIs" dxfId="493" priority="87" stopIfTrue="1" operator="equal">
      <formula>""</formula>
    </cfRule>
    <cfRule type="cellIs" dxfId="492" priority="89" operator="notEqual">
      <formula>"&lt;select one&gt;"</formula>
    </cfRule>
  </conditionalFormatting>
  <conditionalFormatting sqref="D54">
    <cfRule type="cellIs" dxfId="491" priority="51" stopIfTrue="1" operator="equal">
      <formula>""</formula>
    </cfRule>
    <cfRule type="cellIs" dxfId="490" priority="53" operator="notEqual">
      <formula>"&lt;select one&gt;"</formula>
    </cfRule>
  </conditionalFormatting>
  <conditionalFormatting sqref="C65">
    <cfRule type="cellIs" dxfId="489" priority="90" stopIfTrue="1" operator="equal">
      <formula>""</formula>
    </cfRule>
    <cfRule type="cellIs" dxfId="488" priority="92" operator="notEqual">
      <formula>"&lt;select one&gt;"</formula>
    </cfRule>
  </conditionalFormatting>
  <conditionalFormatting sqref="H72:H86">
    <cfRule type="cellIs" dxfId="487" priority="93" operator="notEqual">
      <formula>""</formula>
    </cfRule>
  </conditionalFormatting>
  <conditionalFormatting sqref="H87">
    <cfRule type="cellIs" dxfId="486" priority="96" stopIfTrue="1" operator="notEqual">
      <formula>Total_Units</formula>
    </cfRule>
    <cfRule type="expression" dxfId="485" priority="97">
      <formula>AND(H87=Total_Units,H87&lt;&gt;0)</formula>
    </cfRule>
  </conditionalFormatting>
  <conditionalFormatting sqref="G18:H18">
    <cfRule type="cellIs" dxfId="484" priority="8" operator="equal">
      <formula>"Yes"</formula>
    </cfRule>
  </conditionalFormatting>
  <conditionalFormatting sqref="G20:G22">
    <cfRule type="expression" dxfId="483" priority="9" stopIfTrue="1">
      <formula>AND($G$18="Yes",$G$20&lt;&gt;"",OR($G$20&gt;1,N($G$20)&lt;N($G$19)))</formula>
    </cfRule>
    <cfRule type="expression" dxfId="482" priority="10">
      <formula>AND($G$18="Yes",$G$20&lt;&gt;"",N($G$20)&gt;=$G$19)</formula>
    </cfRule>
  </conditionalFormatting>
  <conditionalFormatting sqref="H20:H22">
    <cfRule type="expression" dxfId="481" priority="11" stopIfTrue="1">
      <formula>AND($H$18="Yes",$H$20&lt;&gt;"",N($H$20)&gt;=N($H$19))</formula>
    </cfRule>
    <cfRule type="expression" dxfId="480" priority="12">
      <formula>AND($H$18="Yes",$H$20&lt;&gt;"",N($H$20)&lt;N($H$19))</formula>
    </cfRule>
  </conditionalFormatting>
  <conditionalFormatting sqref="H35">
    <cfRule type="expression" dxfId="479" priority="38" stopIfTrue="1">
      <formula>AND($H$18="Yes",H35&lt;&gt;"",N(H35)&lt;25000,H34&lt;&gt;0)</formula>
    </cfRule>
    <cfRule type="expression" dxfId="478" priority="39">
      <formula>AND($H$18="Yes",H35&lt;&gt;"",N(H35)&gt;=25000)</formula>
    </cfRule>
  </conditionalFormatting>
  <conditionalFormatting sqref="G17:H28 G31:H36">
    <cfRule type="expression" dxfId="477" priority="7">
      <formula>IFERROR(MATCH(G$17,DS_DevCat_DDMenu,0),99)=99</formula>
    </cfRule>
  </conditionalFormatting>
  <conditionalFormatting sqref="G45:I45">
    <cfRule type="cellIs" dxfId="476" priority="26" operator="notEqual">
      <formula>""</formula>
    </cfRule>
  </conditionalFormatting>
  <conditionalFormatting sqref="I5">
    <cfRule type="expression" dxfId="475" priority="22">
      <formula>FIND("NOT",I5)</formula>
    </cfRule>
  </conditionalFormatting>
  <conditionalFormatting sqref="F58">
    <cfRule type="expression" dxfId="474" priority="21">
      <formula>FIND("NOT",F58)</formula>
    </cfRule>
  </conditionalFormatting>
  <conditionalFormatting sqref="E72:I86">
    <cfRule type="expression" dxfId="473" priority="19">
      <formula>$K72=0</formula>
    </cfRule>
  </conditionalFormatting>
  <conditionalFormatting sqref="B63:I66">
    <cfRule type="expression" dxfId="472" priority="17">
      <formula>$K$65=0</formula>
    </cfRule>
  </conditionalFormatting>
  <conditionalFormatting sqref="B38:I51">
    <cfRule type="expression" dxfId="471" priority="15">
      <formula>$M$38=0</formula>
    </cfRule>
  </conditionalFormatting>
  <conditionalFormatting sqref="B43:I43 B45:I47">
    <cfRule type="expression" dxfId="470" priority="14">
      <formula>$K43=0</formula>
    </cfRule>
  </conditionalFormatting>
  <conditionalFormatting sqref="B52:I57">
    <cfRule type="expression" dxfId="469" priority="13">
      <formula>$K$54=0</formula>
    </cfRule>
  </conditionalFormatting>
  <conditionalFormatting sqref="H36">
    <cfRule type="expression" dxfId="468" priority="44" stopIfTrue="1">
      <formula>AND($H$18="Yes",$H$36="No")</formula>
    </cfRule>
    <cfRule type="expression" dxfId="467" priority="45">
      <formula>AND($H$18="Yes",$H$36="Yes")</formula>
    </cfRule>
  </conditionalFormatting>
  <conditionalFormatting sqref="H26">
    <cfRule type="expression" dxfId="466" priority="32" stopIfTrue="1">
      <formula>AND($H$18="Yes",H26&lt;&gt;"",N(H26)&lt;20%,H26&lt;&gt;"&gt;=20%")</formula>
    </cfRule>
    <cfRule type="expression" dxfId="465" priority="35">
      <formula>AND($H$18="Yes",OR($H$26="&gt;=20%",AND(H26&lt;&gt;"",N(H26)&gt;=20%)))</formula>
    </cfRule>
  </conditionalFormatting>
  <conditionalFormatting sqref="H27">
    <cfRule type="expression" dxfId="464" priority="36" stopIfTrue="1">
      <formula>H27="No"</formula>
    </cfRule>
    <cfRule type="expression" dxfId="463" priority="37">
      <formula>H27="Yes"</formula>
    </cfRule>
  </conditionalFormatting>
  <conditionalFormatting sqref="B8:I37">
    <cfRule type="expression" dxfId="462" priority="1232">
      <formula>$M$8=0</formula>
    </cfRule>
  </conditionalFormatting>
  <dataValidations count="4">
    <dataValidation type="list" allowBlank="1" showInputMessage="1" showErrorMessage="1" sqref="C65 D54" xr:uid="{B5EE8E3B-0709-4B9E-AE62-1DC2AA9646C6}">
      <formula1>"&lt;select one&gt;, Yes, No"</formula1>
    </dataValidation>
    <dataValidation type="list" allowBlank="1" showInputMessage="1" showErrorMessage="1" sqref="G6:H6" xr:uid="{964FFFAA-1FAD-4533-B6F5-97867934EA41}">
      <formula1>DS_DevCat_DDMenu</formula1>
    </dataValidation>
    <dataValidation type="whole" operator="greaterThanOrEqual" allowBlank="1" showInputMessage="1" showErrorMessage="1" sqref="F45:F47" xr:uid="{1DCF8483-F436-43DD-8662-E041D85C294D}">
      <formula1>0</formula1>
    </dataValidation>
    <dataValidation type="list" allowBlank="1" showInputMessage="1" showErrorMessage="1" sqref="H47" xr:uid="{4ADEDEAD-22E4-47E7-96BC-E9B92E801898}">
      <formula1>DS_RA_Source_DDMenu</formula1>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99" id="{6A24685D-6F75-43C3-9658-14700296D782}">
            <xm:f>$H$87&lt;&gt;'Units, Set-Asides, Bldgs'!$J$3</xm:f>
            <x14:dxf>
              <font>
                <b val="0"/>
                <i val="0"/>
                <strike val="0"/>
                <color rgb="FFC00000"/>
              </font>
              <fill>
                <patternFill>
                  <bgColor rgb="FFFFE6FF"/>
                </patternFill>
              </fill>
            </x14:dxf>
          </x14:cfRule>
          <xm:sqref>J87</xm:sqref>
        </x14:conditionalFormatting>
        <x14:conditionalFormatting xmlns:xm="http://schemas.microsoft.com/office/excel/2006/main">
          <x14:cfRule type="expression" priority="1078" id="{BC88F2F8-6902-4443-A600-178F6A8F1684}">
            <xm:f>Data1!$E$501="Yes"</xm:f>
            <x14:dxf>
              <font>
                <color theme="0"/>
              </font>
              <fill>
                <patternFill>
                  <bgColor theme="0"/>
                </patternFill>
              </fill>
              <border>
                <left/>
                <right/>
                <top/>
                <bottom/>
              </border>
            </x14:dxf>
          </x14:cfRule>
          <xm:sqref>K3:M3 K6:M6 M8 M38 K43:N43 K45:N47 K54:M54 K59:M59 K65:M65 K72:N86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Data1!$F$253:$F$265</xm:f>
          </x14:formula1>
          <xm:sqref>C59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36"/>
  <sheetViews>
    <sheetView showGridLines="0" zoomScaleNormal="100" zoomScaleSheetLayoutView="100" workbookViewId="0">
      <pane ySplit="2" topLeftCell="A3" activePane="bottomLeft" state="frozen"/>
      <selection pane="bottomLeft" activeCell="F3" sqref="F3"/>
    </sheetView>
  </sheetViews>
  <sheetFormatPr defaultColWidth="8.5546875" defaultRowHeight="14.4"/>
  <cols>
    <col min="1" max="1" width="3" style="42" customWidth="1"/>
    <col min="2" max="3" width="3.5546875" style="42" customWidth="1"/>
    <col min="4" max="4" width="4.44140625" style="42" customWidth="1"/>
    <col min="5" max="5" width="21.44140625" style="42" customWidth="1"/>
    <col min="6" max="6" width="23.44140625" style="42" customWidth="1"/>
    <col min="7" max="7" width="18.44140625" style="42" customWidth="1"/>
    <col min="8" max="8" width="13.5546875" style="42" customWidth="1"/>
    <col min="9" max="9" width="11.44140625" style="42" customWidth="1"/>
    <col min="10" max="10" width="8.5546875" style="42"/>
    <col min="11" max="11" width="8.77734375" style="42" customWidth="1"/>
    <col min="12" max="13" width="3.5546875" style="42" customWidth="1"/>
    <col min="14" max="14" width="31.5546875" style="42" customWidth="1"/>
    <col min="15" max="16384" width="8.5546875" style="42"/>
  </cols>
  <sheetData>
    <row r="1" spans="1:27" ht="35.85" customHeight="1" thickBot="1">
      <c r="A1" s="1714" t="s">
        <v>294</v>
      </c>
      <c r="B1" s="1715"/>
      <c r="C1" s="1715"/>
      <c r="D1" s="1715"/>
      <c r="E1" s="1715"/>
      <c r="F1" s="1715"/>
      <c r="G1" s="1715"/>
      <c r="H1" s="1715"/>
      <c r="I1" s="1715"/>
      <c r="J1" s="1716"/>
      <c r="L1" s="1829" t="str">
        <f>"There are "&amp;TEXT(COUNTIF($L$3:$L$31,"=1"),"0")&amp;" required input fields and "&amp;TEXT(COUNTIF($L$3:$L$31,"=2"),"0")&amp;" optional input fields on this tab."&amp;CHAR(10)&amp;"There "&amp;IF(COUNTIFS($L$3:$L$31,"=1",$M$3:$M$31,"=1")=1,"is 1 required input field","are "&amp;TEXT(COUNTIFS($L$3:$L$31,"=1",$M$3:$M$31,"=1"),"0")&amp;" required input fields")&amp;" and "&amp;TEXT(COUNTIFS($L$3:$L$31,"=2",$M$3:$M$31,"=2"),"0")&amp;" optional input field"&amp;IF(COUNTIFS($L$3:$L$31,"=2",$M$3:$M$31,"=2")=1," with an entry","s with entries")&amp;" on this tab."&amp;CHAR(10)&amp;"There "&amp;IF(Data1!G502=1,"is ","are ")&amp;TEXT(Data1!G502,"0")&amp;" required input field"&amp;IF(Data1!G502=1," that need an entry","s that need entries")&amp;" and "&amp;TEXT(Data1!H502,"0")&amp;" optional input field"&amp;IF(Data1!H502=1," that may or may not need an entry","s that may or may not need entries")&amp;" on this tab."</f>
        <v>There are 7 required input fields and 1 optional input fields on this tab.
There are 0 required input fields and 0 optional input fields with entries on this tab.
There are 7 required input fields that need entries and 1 optional input field that may or may not need an entry on this tab.</v>
      </c>
      <c r="M1" s="1829"/>
      <c r="N1" s="1829"/>
      <c r="O1" s="1829"/>
      <c r="P1" s="1829"/>
      <c r="Q1" s="1829"/>
      <c r="R1" s="1829"/>
      <c r="S1" s="1829"/>
      <c r="T1" s="1829"/>
      <c r="U1" s="1829"/>
      <c r="V1" s="1829"/>
      <c r="W1" s="583"/>
      <c r="X1" s="583"/>
      <c r="Y1" s="583"/>
      <c r="Z1" s="583"/>
      <c r="AA1" s="583"/>
    </row>
    <row r="2" spans="1:27" ht="14.4" customHeight="1">
      <c r="A2" s="4"/>
      <c r="B2" s="4"/>
      <c r="C2" s="4"/>
      <c r="D2" s="4"/>
      <c r="E2" s="4"/>
      <c r="F2" s="4"/>
      <c r="G2" s="4"/>
      <c r="H2" s="4"/>
      <c r="I2" s="4"/>
      <c r="J2" s="4"/>
      <c r="L2" s="1829"/>
      <c r="M2" s="1829"/>
      <c r="N2" s="1829"/>
      <c r="O2" s="1829"/>
      <c r="P2" s="1829"/>
      <c r="Q2" s="1829"/>
      <c r="R2" s="1829"/>
      <c r="S2" s="1829"/>
      <c r="T2" s="1829"/>
      <c r="U2" s="1829"/>
      <c r="V2" s="1829"/>
      <c r="W2" s="583"/>
      <c r="X2" s="583"/>
      <c r="Y2" s="583"/>
      <c r="Z2" s="583"/>
      <c r="AA2" s="583"/>
    </row>
    <row r="3" spans="1:27" ht="17.399999999999999" customHeight="1">
      <c r="A3" s="1183" t="s">
        <v>1189</v>
      </c>
      <c r="B3" s="1853" t="s">
        <v>295</v>
      </c>
      <c r="C3" s="1853"/>
      <c r="D3" s="1853"/>
      <c r="E3" s="1853"/>
      <c r="F3" s="1614" t="s">
        <v>2</v>
      </c>
      <c r="G3" s="1034" t="s">
        <v>1510</v>
      </c>
      <c r="H3" s="1525" t="str">
        <f>IF(County="&lt;select one&gt;","",LOOKUP(County,Data1!F177:F243,Data1!H177:H243))</f>
        <v/>
      </c>
      <c r="I3" s="43"/>
      <c r="J3" s="4"/>
      <c r="L3" s="588">
        <v>1</v>
      </c>
      <c r="M3" s="390">
        <f>IF(AND(L3&lt;&gt;0,AND(F3&lt;&gt;"&lt;select one&gt;",F3&lt;&gt;"")),L3,0)</f>
        <v>0</v>
      </c>
      <c r="N3" s="1389" t="str">
        <f>CHOOSE(L3+1,"Not to be included in this RFA","A REQUIRED input field for this RFA","An OPTIONAL input field for this RFA")</f>
        <v>A REQUIRED input field for this RFA</v>
      </c>
    </row>
    <row r="4" spans="1:27" ht="14.4" customHeight="1">
      <c r="A4" s="4"/>
      <c r="B4" s="4"/>
      <c r="C4" s="1613" t="str">
        <f>IF(F3="&lt;select one&gt;","(The proposed Development's County must have an entry to turn on some of the validation formulas in Exhibit A)","")</f>
        <v>(The proposed Development's County must have an entry to turn on some of the validation formulas in Exhibit A)</v>
      </c>
      <c r="D4" s="4"/>
      <c r="E4" s="4"/>
      <c r="F4" s="4"/>
      <c r="G4" s="4"/>
      <c r="H4" s="4"/>
      <c r="I4" s="4"/>
      <c r="J4" s="4"/>
    </row>
    <row r="5" spans="1:27" ht="35.1" customHeight="1">
      <c r="A5" s="4"/>
      <c r="B5" s="585" t="str">
        <f>IF(L5=1,"(1)","(-)")</f>
        <v>(1)</v>
      </c>
      <c r="C5" s="1829" t="s">
        <v>2144</v>
      </c>
      <c r="D5" s="1829"/>
      <c r="E5" s="1829"/>
      <c r="F5" s="1829"/>
      <c r="G5" s="1829"/>
      <c r="H5" s="1900" t="s">
        <v>2</v>
      </c>
      <c r="I5" s="1900"/>
      <c r="J5" s="1900"/>
      <c r="L5" s="588">
        <v>1</v>
      </c>
      <c r="M5" s="390">
        <f>IF(AND(L5&lt;&gt;0,AND(H5&lt;&gt;"&lt;select one&gt;",H5&lt;&gt;"")),L5,0)</f>
        <v>0</v>
      </c>
      <c r="N5" s="596" t="str">
        <f>CHOOSE(L5+1,"Not to be included in this RFA","A REQUIRED input field for this RFA","An OPTIONAL input field for this RFA")</f>
        <v>A REQUIRED input field for this RFA</v>
      </c>
    </row>
    <row r="6" spans="1:27" ht="10.35" customHeight="1">
      <c r="A6" s="4"/>
      <c r="B6" s="4"/>
      <c r="C6" s="4"/>
      <c r="D6" s="4"/>
      <c r="E6" s="4"/>
      <c r="F6" s="4"/>
      <c r="G6" s="4"/>
      <c r="H6" s="4"/>
      <c r="I6" s="4"/>
      <c r="J6" s="4"/>
    </row>
    <row r="7" spans="1:27" ht="35.1" hidden="1" customHeight="1">
      <c r="A7" s="4"/>
      <c r="B7" s="585" t="str">
        <f>IF(AND(L7=1,L5=1),"(2)",IF(AND(L7=1,L5=0),"(1)","(-)"))</f>
        <v>(-)</v>
      </c>
      <c r="C7" s="1829" t="s">
        <v>2145</v>
      </c>
      <c r="D7" s="1829"/>
      <c r="E7" s="1829"/>
      <c r="F7" s="1829"/>
      <c r="G7" s="1829"/>
      <c r="H7" s="1900" t="s">
        <v>2</v>
      </c>
      <c r="I7" s="1900"/>
      <c r="J7" s="1900"/>
      <c r="L7" s="588">
        <v>0</v>
      </c>
      <c r="M7" s="390">
        <f>IF(AND(L7&lt;&gt;0,AND(H7&lt;&gt;"&lt;select one&gt;",H7&lt;&gt;"")),L7,0)</f>
        <v>0</v>
      </c>
      <c r="N7" s="596" t="str">
        <f>CHOOSE(L7+1,"Not to be included in this RFA","A REQUIRED input field for this RFA","An OPTIONAL input field for this RFA")</f>
        <v>Not to be included in this RFA</v>
      </c>
    </row>
    <row r="8" spans="1:27" ht="10.35" hidden="1" customHeight="1">
      <c r="A8" s="4"/>
      <c r="B8" s="458"/>
      <c r="C8" s="4"/>
      <c r="D8" s="4"/>
      <c r="E8" s="4"/>
      <c r="F8" s="4"/>
      <c r="G8" s="4"/>
      <c r="H8" s="4"/>
      <c r="I8" s="4"/>
      <c r="J8" s="4"/>
    </row>
    <row r="9" spans="1:27" ht="14.4" customHeight="1">
      <c r="A9" s="1182" t="str" cm="1">
        <f t="array" ref="A9">IF($L11=0,"",CHAR(CODE(LOOKUP(2,1/(COUNTIF(A$3:A8,"&gt;"&amp;A$3:A8&amp;"*")=0),A$3:A8))+1))</f>
        <v>b</v>
      </c>
      <c r="B9" s="1903" t="s">
        <v>296</v>
      </c>
      <c r="C9" s="1903"/>
      <c r="D9" s="1903"/>
      <c r="E9" s="1903"/>
      <c r="F9" s="1903"/>
      <c r="G9" s="4"/>
      <c r="H9" s="4"/>
      <c r="I9" s="4"/>
      <c r="J9" s="4"/>
    </row>
    <row r="10" spans="1:27" ht="14.4" customHeight="1">
      <c r="A10" s="4"/>
      <c r="B10" s="4" t="s">
        <v>297</v>
      </c>
      <c r="C10" s="4"/>
      <c r="D10" s="4"/>
      <c r="E10" s="4"/>
      <c r="F10" s="4"/>
      <c r="G10" s="4"/>
      <c r="H10" s="4"/>
      <c r="I10" s="4"/>
    </row>
    <row r="11" spans="1:27" ht="117.9" customHeight="1">
      <c r="A11" s="4"/>
      <c r="B11" s="4"/>
      <c r="C11" s="4"/>
      <c r="D11" s="4"/>
      <c r="E11" s="1832"/>
      <c r="F11" s="1832"/>
      <c r="G11" s="1832"/>
      <c r="H11" s="1832"/>
      <c r="I11" s="1832"/>
      <c r="J11" s="1832"/>
      <c r="L11" s="588">
        <v>1</v>
      </c>
      <c r="M11" s="385">
        <f>IF(AND(L11&lt;&gt;0,E11&lt;&gt;""),L11,0)</f>
        <v>0</v>
      </c>
      <c r="N11" s="375" t="str">
        <f>CHOOSE(L11+1,"Not to be included in this RFA","A REQUIRED input field for this RFA","An OPTIONAL input field for this RFA")</f>
        <v>A REQUIRED input field for this RFA</v>
      </c>
    </row>
    <row r="12" spans="1:27" s="45" customFormat="1" ht="10.35" customHeight="1">
      <c r="A12" s="3"/>
      <c r="B12" s="3"/>
      <c r="C12" s="3"/>
      <c r="D12" s="3"/>
      <c r="E12" s="76"/>
      <c r="F12" s="76"/>
      <c r="G12" s="76"/>
      <c r="H12" s="76"/>
      <c r="I12" s="76"/>
      <c r="J12" s="76"/>
    </row>
    <row r="13" spans="1:27" ht="17.399999999999999" customHeight="1">
      <c r="A13" s="4"/>
      <c r="B13" s="4"/>
      <c r="C13" s="4"/>
      <c r="D13" s="4"/>
      <c r="E13" s="1740" t="s">
        <v>298</v>
      </c>
      <c r="F13" s="1740"/>
      <c r="G13" s="1836"/>
      <c r="H13" s="1836"/>
      <c r="I13" s="1836"/>
      <c r="J13" s="1836"/>
      <c r="L13" s="588">
        <v>1</v>
      </c>
      <c r="M13" s="385">
        <f>IF(AND(L13&lt;&gt;0,G13&lt;&gt;""),L13,0)</f>
        <v>0</v>
      </c>
      <c r="N13" s="375" t="str">
        <f>CHOOSE(L13+1,"Not to be included in this RFA","A REQUIRED input field for this RFA","An OPTIONAL input field for this RFA")</f>
        <v>A REQUIRED input field for this RFA</v>
      </c>
    </row>
    <row r="14" spans="1:27" ht="14.4" customHeight="1">
      <c r="A14" s="4"/>
      <c r="B14" s="4"/>
      <c r="C14" s="4"/>
      <c r="D14" s="4"/>
      <c r="E14" s="185" t="s">
        <v>299</v>
      </c>
      <c r="F14" s="4"/>
      <c r="G14" s="4"/>
      <c r="H14" s="4"/>
      <c r="I14" s="4"/>
      <c r="J14" s="4"/>
    </row>
    <row r="15" spans="1:27" ht="10.35" customHeight="1">
      <c r="A15" s="4"/>
      <c r="B15" s="4"/>
      <c r="C15" s="4"/>
      <c r="D15" s="4"/>
      <c r="E15" s="4"/>
      <c r="F15" s="4"/>
      <c r="G15" s="4"/>
      <c r="H15" s="4"/>
      <c r="I15" s="4"/>
      <c r="J15" s="4"/>
    </row>
    <row r="16" spans="1:27" ht="14.4" customHeight="1">
      <c r="A16" s="1182" t="str" cm="1">
        <f t="array" ref="A16">IF($L18=0,"",CHAR(CODE(LOOKUP(2,1/(COUNTIF(A$3:A15,"&gt;"&amp;A$3:A15&amp;"*")=0),A$3:A15))+1))</f>
        <v>c</v>
      </c>
      <c r="B16" s="46" t="s">
        <v>1187</v>
      </c>
      <c r="C16" s="4"/>
      <c r="D16" s="4"/>
      <c r="E16" s="4"/>
      <c r="F16" s="4"/>
      <c r="G16" s="4"/>
      <c r="H16" s="4"/>
      <c r="I16" s="4"/>
      <c r="J16" s="4"/>
    </row>
    <row r="17" spans="1:14" ht="10.35" customHeight="1">
      <c r="A17" s="4"/>
      <c r="B17" s="4"/>
      <c r="C17" s="4"/>
      <c r="D17" s="4"/>
      <c r="E17" s="4"/>
      <c r="F17" s="4"/>
      <c r="G17" s="4"/>
      <c r="H17" s="4"/>
      <c r="I17" s="4"/>
      <c r="J17" s="4"/>
    </row>
    <row r="18" spans="1:14" ht="17.399999999999999" customHeight="1">
      <c r="A18" s="4"/>
      <c r="B18" s="133" t="s">
        <v>215</v>
      </c>
      <c r="C18" s="4" t="s">
        <v>1188</v>
      </c>
      <c r="D18" s="4"/>
      <c r="E18" s="4"/>
      <c r="F18" s="4"/>
      <c r="G18" s="1608" t="s">
        <v>2</v>
      </c>
      <c r="H18" s="4"/>
      <c r="I18" s="4"/>
      <c r="J18" s="4"/>
      <c r="L18" s="588">
        <v>1</v>
      </c>
      <c r="M18" s="390">
        <f>IF(AND(L18&lt;&gt;0,AND(G18&lt;&gt;"&lt;select one&gt;",G18&lt;&gt;"")),L18,0)</f>
        <v>0</v>
      </c>
      <c r="N18" s="375" t="str">
        <f>CHOOSE(L18+1,"Not to be included in this RFA","A REQUIRED input field for this RFA","An OPTIONAL input field for this RFA")</f>
        <v>A REQUIRED input field for this RFA</v>
      </c>
    </row>
    <row r="19" spans="1:14" ht="10.35" customHeight="1">
      <c r="A19" s="4"/>
      <c r="B19" s="4"/>
      <c r="C19" s="4"/>
      <c r="D19" s="4"/>
      <c r="E19" s="4"/>
      <c r="F19" s="4"/>
      <c r="G19" s="4"/>
      <c r="H19" s="4"/>
      <c r="I19" s="4"/>
      <c r="J19" s="4"/>
    </row>
    <row r="20" spans="1:14" ht="14.4" customHeight="1">
      <c r="A20" s="1182" t="str" cm="1">
        <f t="array" ref="A20">IF($L23=0,"",CHAR(CODE(LOOKUP(2,1/(COUNTIF(A$3:A19,"&gt;"&amp;A$3:A19&amp;"*")=0),A$3:A19))+1))</f>
        <v>d</v>
      </c>
      <c r="B20" s="46" t="s">
        <v>300</v>
      </c>
      <c r="C20" s="46"/>
      <c r="D20" s="46"/>
      <c r="E20" s="46"/>
      <c r="F20" s="46"/>
      <c r="G20" s="4"/>
      <c r="H20" s="4"/>
      <c r="I20" s="4"/>
      <c r="J20" s="631"/>
    </row>
    <row r="21" spans="1:14">
      <c r="A21" s="4"/>
      <c r="B21" s="133" t="s">
        <v>215</v>
      </c>
      <c r="C21" s="1268" t="s">
        <v>301</v>
      </c>
      <c r="D21" s="1268"/>
      <c r="E21" s="1268"/>
      <c r="F21" s="1268"/>
      <c r="G21" s="1299"/>
      <c r="H21" s="1299"/>
      <c r="I21" s="1299"/>
      <c r="J21" s="1300" t="str">
        <f>IF(AND(DLP_latitude="",DLP_longitude=""),"",IF(DLP_latitude=""," Latitude point not provided",IF(AND(VALUE(DLP_latitude)&gt;0,LEN(DLP_latitude)&lt;IFERROR(FIND(".",DLP_latitude)+6,0))," Latitude is not 6 decimals",IF(AND(VALUE(DLP_latitude)&lt;0,LEN(DLP_latitude)&gt;IFERROR(FIND(".",DLP_latitude)+5,0))," Latitude not listed as a positive #",IF(AND(VALUE(DLP_latitude)&lt;0,LEN(DLP_latitude)&lt;IFERROR(FIND(".",DLP_latitude)+6,0))," Latitude not listed as a positive # &amp; it is not 6 decimals",""))))&amp;IF(AND(OR(AND(VALUE(DLP_latitude)&gt;0,LEN(DLP_latitude)&lt;IFERROR(FIND(".",DLP_latitude)+6,0)),VALUE(DLP_latitude)&lt;0),OR(AND(VALUE(DLP_longitude)&lt;0,LEN(DLP_longitude)&lt;IFERROR(FIND(".",DLP_longitude)+6,0)),VALUE(DLP_longitude)&gt;0)),";","")&amp;IF(DLP_longitude=""," Longitude point not provided",IF(AND(VALUE(DLP_longitude)&lt;0,LEN(DLP_longitude)&lt;IFERROR(FIND(".",DLP_longitude)+6,0))," Longitude is not 6 decimals",IF(AND(VALUE(DLP_longitude)&gt;0,LEN(DLP_longitude)&lt;IFERROR(FIND(".",DLP_longitude)+6,0))," Longitude not listed as a negative # &amp; it is not 6 decimals",IF(VALUE(DLP_longitude)&gt;0," Longitude not listed as a negative #","")))))</f>
        <v/>
      </c>
    </row>
    <row r="22" spans="1:14" ht="8.25" customHeight="1">
      <c r="A22" s="4"/>
      <c r="B22" s="4"/>
      <c r="C22" s="4"/>
      <c r="D22" s="4"/>
      <c r="E22" s="4"/>
      <c r="F22" s="4"/>
      <c r="G22" s="4"/>
      <c r="H22" s="4"/>
      <c r="I22" s="4"/>
      <c r="J22" s="4"/>
    </row>
    <row r="23" spans="1:14" ht="17.399999999999999" customHeight="1">
      <c r="A23" s="4"/>
      <c r="B23" s="4"/>
      <c r="C23" s="4"/>
      <c r="D23" s="162" t="s">
        <v>302</v>
      </c>
      <c r="E23" s="162"/>
      <c r="F23" s="162"/>
      <c r="H23" s="1904"/>
      <c r="I23" s="1904"/>
      <c r="J23" s="1904"/>
      <c r="L23" s="588">
        <v>1</v>
      </c>
      <c r="M23" s="385">
        <f>IF(AND(L23&lt;&gt;0,H23&lt;&gt;""),L23,0)</f>
        <v>0</v>
      </c>
      <c r="N23" s="1467" t="str">
        <f>CHOOSE(L23+1,"Not to be included in this RFA","A REQUIRED input field for this RFA","An OPTIONAL input field for this RFA")</f>
        <v>A REQUIRED input field for this RFA</v>
      </c>
    </row>
    <row r="24" spans="1:14" ht="17.399999999999999" customHeight="1">
      <c r="A24" s="4"/>
      <c r="B24" s="4"/>
      <c r="C24" s="4"/>
      <c r="D24" s="4" t="s">
        <v>303</v>
      </c>
      <c r="F24" s="4"/>
      <c r="G24" s="4"/>
      <c r="H24" s="1905"/>
      <c r="I24" s="1905"/>
      <c r="J24" s="1905"/>
      <c r="L24" s="658">
        <v>1</v>
      </c>
      <c r="M24" s="385">
        <f>IF(AND(L24&lt;&gt;0,H24&lt;&gt;""),L24,0)</f>
        <v>0</v>
      </c>
      <c r="N24" s="375" t="str">
        <f>CHOOSE(L24+1,"Not to be included in this RFA","A REQUIRED input field for this RFA","An OPTIONAL input field for this RFA")</f>
        <v>A REQUIRED input field for this RFA</v>
      </c>
    </row>
    <row r="25" spans="1:14">
      <c r="A25" s="4"/>
      <c r="B25" s="4"/>
      <c r="C25" s="4"/>
      <c r="D25" s="4"/>
      <c r="E25" s="4"/>
      <c r="F25" s="4"/>
      <c r="G25" s="4"/>
      <c r="H25" s="4"/>
      <c r="I25" s="4"/>
      <c r="J25" s="4"/>
    </row>
    <row r="26" spans="1:14" ht="42" customHeight="1">
      <c r="A26" s="4"/>
      <c r="B26" s="133" t="s">
        <v>217</v>
      </c>
      <c r="C26" s="1829" t="s">
        <v>304</v>
      </c>
      <c r="D26" s="1829"/>
      <c r="E26" s="1829"/>
      <c r="F26" s="1829"/>
      <c r="G26" s="1829"/>
      <c r="H26" s="1829"/>
      <c r="I26" s="1829"/>
      <c r="J26" s="1829"/>
    </row>
    <row r="27" spans="1:14" ht="9.75" customHeight="1">
      <c r="A27" s="4"/>
      <c r="B27" s="4"/>
      <c r="C27" s="4"/>
      <c r="D27" s="4"/>
      <c r="E27" s="4"/>
      <c r="F27" s="4"/>
      <c r="G27" s="4"/>
      <c r="H27" s="4"/>
      <c r="I27" s="4"/>
      <c r="J27" s="4"/>
    </row>
    <row r="28" spans="1:14" ht="36" customHeight="1">
      <c r="A28" s="4"/>
      <c r="B28" s="4"/>
      <c r="C28" s="4"/>
      <c r="D28" s="4"/>
      <c r="E28" s="1906"/>
      <c r="F28" s="1906"/>
      <c r="G28" s="1906"/>
      <c r="H28" s="1906"/>
      <c r="I28" s="1906"/>
      <c r="J28" s="1906"/>
      <c r="L28" s="1901">
        <f>IF(G18="No",0,IF(G18="Yes",1,2))</f>
        <v>2</v>
      </c>
      <c r="M28" s="1813">
        <f>IF(AND(L28&lt;&gt;0,E28&lt;&gt;""),L28,0)</f>
        <v>0</v>
      </c>
      <c r="N28" s="1902" t="str">
        <f>CHOOSE(L28+1,"Not to be included in this RFA","A REQUIRED input field for this RFA","An OPTIONAL input field for this RFA")</f>
        <v>An OPTIONAL input field for this RFA</v>
      </c>
    </row>
    <row r="29" spans="1:14">
      <c r="A29" s="4"/>
      <c r="B29" s="4"/>
      <c r="C29" s="4"/>
      <c r="D29" s="4"/>
      <c r="E29" s="1906"/>
      <c r="F29" s="1906"/>
      <c r="G29" s="1906"/>
      <c r="H29" s="1906"/>
      <c r="I29" s="1906"/>
      <c r="J29" s="1906"/>
      <c r="L29" s="1901"/>
      <c r="M29" s="1813"/>
      <c r="N29" s="1902"/>
    </row>
    <row r="30" spans="1:14">
      <c r="A30" s="4"/>
      <c r="B30" s="4"/>
      <c r="C30" s="4"/>
      <c r="D30" s="4"/>
      <c r="E30" s="1906"/>
      <c r="F30" s="1906"/>
      <c r="G30" s="1906"/>
      <c r="H30" s="1906"/>
      <c r="I30" s="1906"/>
      <c r="J30" s="1906"/>
      <c r="L30" s="1901"/>
      <c r="M30" s="1813"/>
      <c r="N30" s="1902"/>
    </row>
    <row r="31" spans="1:14">
      <c r="A31" s="4"/>
      <c r="B31" s="4"/>
      <c r="C31" s="4"/>
      <c r="D31" s="4"/>
      <c r="E31" s="1907"/>
      <c r="F31" s="1907"/>
      <c r="G31" s="1907"/>
      <c r="H31" s="1907"/>
      <c r="I31" s="1907"/>
      <c r="J31" s="1907"/>
      <c r="L31" s="1901"/>
      <c r="M31" s="1813"/>
      <c r="N31" s="1902"/>
    </row>
    <row r="32" spans="1:14" ht="10.35" customHeight="1">
      <c r="A32" s="4"/>
      <c r="B32" s="4"/>
      <c r="C32" s="4"/>
      <c r="D32" s="4"/>
      <c r="E32" s="4"/>
      <c r="F32" s="4"/>
      <c r="G32" s="4"/>
      <c r="H32" s="4"/>
      <c r="I32" s="4"/>
      <c r="J32" s="4"/>
    </row>
    <row r="33" spans="1:14" ht="14.4" customHeight="1">
      <c r="A33" s="1182" t="str" cm="1">
        <f t="array" ref="A33">IF($N33=0,"",CHAR(CODE(LOOKUP(2,1/(COUNTIF(A$3:A32,"&gt;"&amp;A$3:A32&amp;"*")=0),A$3:A32))+1))</f>
        <v>e</v>
      </c>
      <c r="B33" s="46" t="s">
        <v>1965</v>
      </c>
      <c r="C33" s="46"/>
      <c r="D33" s="46"/>
      <c r="E33" s="46"/>
      <c r="F33" s="46"/>
      <c r="G33" s="4"/>
      <c r="H33" s="4"/>
      <c r="I33" s="4"/>
      <c r="J33" s="631"/>
      <c r="L33" s="32"/>
      <c r="M33" s="390"/>
      <c r="N33" s="576">
        <v>1</v>
      </c>
    </row>
    <row r="34" spans="1:14" ht="10.35" customHeight="1">
      <c r="A34" s="1182"/>
      <c r="B34" s="410"/>
      <c r="C34" s="410"/>
      <c r="D34" s="410"/>
      <c r="E34" s="410"/>
      <c r="F34" s="410"/>
      <c r="G34" s="410"/>
      <c r="H34" s="410"/>
      <c r="I34" s="410"/>
      <c r="J34" s="631"/>
      <c r="L34" s="753"/>
      <c r="M34" s="390"/>
      <c r="N34" s="1389"/>
    </row>
    <row r="35" spans="1:14" ht="40.200000000000003" customHeight="1">
      <c r="B35" s="1712" t="s">
        <v>1966</v>
      </c>
      <c r="C35" s="1712"/>
      <c r="D35" s="1712"/>
      <c r="E35" s="1712"/>
      <c r="F35" s="1712"/>
      <c r="G35" s="1712"/>
      <c r="H35" s="1712"/>
      <c r="I35" s="1712"/>
      <c r="J35" s="1712"/>
    </row>
    <row r="36" spans="1:14">
      <c r="B36" t="s">
        <v>1967</v>
      </c>
    </row>
  </sheetData>
  <sheetProtection algorithmName="SHA-512" hashValue="9ozlPaH9dKMopGDPPAM4WCWh8BKGjMw//Q6umfgEG6MxARWojan07XKYE58s62HnWHNyTGw71IJt1crtSam75A==" saltValue="XvU/X6SGo87GOe+mpEyWyQ==" spinCount="100000" sheet="1" formatRows="0" selectLockedCells="1"/>
  <mergeCells count="19">
    <mergeCell ref="C26:J26"/>
    <mergeCell ref="C5:G5"/>
    <mergeCell ref="C7:G7"/>
    <mergeCell ref="B35:J35"/>
    <mergeCell ref="H5:J5"/>
    <mergeCell ref="H7:J7"/>
    <mergeCell ref="L1:V2"/>
    <mergeCell ref="L28:L31"/>
    <mergeCell ref="N28:N31"/>
    <mergeCell ref="M28:M31"/>
    <mergeCell ref="A1:J1"/>
    <mergeCell ref="B9:F9"/>
    <mergeCell ref="E13:F13"/>
    <mergeCell ref="E11:J11"/>
    <mergeCell ref="B3:E3"/>
    <mergeCell ref="G13:J13"/>
    <mergeCell ref="H23:J23"/>
    <mergeCell ref="H24:J24"/>
    <mergeCell ref="E28:J31"/>
  </mergeCells>
  <conditionalFormatting sqref="E11:J11 G13:J13 H23:H24 E28">
    <cfRule type="cellIs" dxfId="459" priority="25" operator="notEqual">
      <formula>""</formula>
    </cfRule>
  </conditionalFormatting>
  <conditionalFormatting sqref="F3">
    <cfRule type="cellIs" dxfId="458" priority="2" stopIfTrue="1" operator="equal">
      <formula>""</formula>
    </cfRule>
  </conditionalFormatting>
  <conditionalFormatting sqref="H5:J5">
    <cfRule type="expression" dxfId="457" priority="14" stopIfTrue="1">
      <formula>AND(County&lt;&gt;"Monroe",$H$5&lt;&gt;"&lt;select one&gt;")</formula>
    </cfRule>
    <cfRule type="expression" dxfId="456" priority="15">
      <formula>AND(County="Monroe",$H$5&lt;&gt;"&lt;select one&gt;")</formula>
    </cfRule>
  </conditionalFormatting>
  <conditionalFormatting sqref="H7:J7">
    <cfRule type="expression" dxfId="455" priority="1" stopIfTrue="1">
      <formula>AND(County&lt;&gt;"Miami-Dade",$H$7&lt;&gt;"&lt;select one&gt;")</formula>
    </cfRule>
    <cfRule type="expression" dxfId="454" priority="16" stopIfTrue="1">
      <formula>AND(County&lt;&gt;"Miami-Dade",$H$7&lt;&gt;"&lt;select one&gt;")</formula>
    </cfRule>
    <cfRule type="expression" dxfId="453" priority="18">
      <formula>AND(County="Miami-Dade",$H$7&lt;&gt;"&lt;select one&gt;")</formula>
    </cfRule>
    <cfRule type="expression" dxfId="452" priority="21">
      <formula>AND(County="Miami-Dade",$H$7&lt;&gt;"&lt;select one&gt;")</formula>
    </cfRule>
  </conditionalFormatting>
  <conditionalFormatting sqref="F3 G18">
    <cfRule type="cellIs" dxfId="451" priority="7" operator="notEqual">
      <formula>"&lt;select one&gt;"</formula>
    </cfRule>
  </conditionalFormatting>
  <conditionalFormatting sqref="E28">
    <cfRule type="expression" dxfId="450" priority="1090">
      <formula>$G$18="no"</formula>
    </cfRule>
  </conditionalFormatting>
  <conditionalFormatting sqref="B5:J6">
    <cfRule type="expression" dxfId="449" priority="10">
      <formula>$L$5=0</formula>
    </cfRule>
  </conditionalFormatting>
  <conditionalFormatting sqref="B7:J8">
    <cfRule type="expression" dxfId="448" priority="19">
      <formula>$L$7=0</formula>
    </cfRule>
  </conditionalFormatting>
  <conditionalFormatting sqref="A9:J15">
    <cfRule type="expression" dxfId="447" priority="24">
      <formula>$L$11=0</formula>
    </cfRule>
  </conditionalFormatting>
  <conditionalFormatting sqref="B13:J15">
    <cfRule type="expression" dxfId="446" priority="26">
      <formula>$L$13=0</formula>
    </cfRule>
  </conditionalFormatting>
  <conditionalFormatting sqref="A16:J19">
    <cfRule type="expression" dxfId="445" priority="27">
      <formula>$L$18=0</formula>
    </cfRule>
  </conditionalFormatting>
  <conditionalFormatting sqref="A20:J20 A23:J32 B21:J22">
    <cfRule type="expression" dxfId="444" priority="28">
      <formula>$L$23+$L$24=0</formula>
    </cfRule>
  </conditionalFormatting>
  <conditionalFormatting sqref="A21">
    <cfRule type="expression" dxfId="443" priority="53">
      <formula>$L$11=0</formula>
    </cfRule>
  </conditionalFormatting>
  <conditionalFormatting sqref="A22">
    <cfRule type="expression" dxfId="442" priority="302">
      <formula>$L$11=0</formula>
    </cfRule>
  </conditionalFormatting>
  <conditionalFormatting sqref="H3">
    <cfRule type="cellIs" dxfId="441" priority="8" operator="notEqual">
      <formula>""</formula>
    </cfRule>
  </conditionalFormatting>
  <conditionalFormatting sqref="F21:J21">
    <cfRule type="expression" dxfId="440" priority="51">
      <formula>$J21&lt;&gt;""</formula>
    </cfRule>
  </conditionalFormatting>
  <conditionalFormatting sqref="A33:J36">
    <cfRule type="expression" dxfId="439" priority="20">
      <formula>$N$33=0</formula>
    </cfRule>
  </conditionalFormatting>
  <dataValidations count="5">
    <dataValidation type="list" allowBlank="1" showInputMessage="1" showErrorMessage="1" sqref="G18" xr:uid="{00000000-0002-0000-0300-000000000000}">
      <formula1>"&lt;select one&gt;, Yes, No"</formula1>
    </dataValidation>
    <dataValidation type="list" allowBlank="1" showInputMessage="1" showErrorMessage="1" sqref="F3" xr:uid="{DB784D3D-3957-4682-9A17-A3A076A7C10F}">
      <formula1>DS_Counties_DDMenu</formula1>
    </dataValidation>
    <dataValidation type="custom" allowBlank="1" showInputMessage="1" showErrorMessage="1" sqref="L7 L11 L13 L18 L23:L24 L28 L5 L3 L34" xr:uid="{6917A045-B6E6-4C97-9D38-7F989CF55CFE}">
      <formula1>AND(L3&gt;=0,L3&lt;3,L3=ROUND(L3,0))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ignoredErrors>
    <ignoredError sqref="B21 B26" numberStoredAsText="1"/>
  </ignoredErrors>
  <extLst>
    <ext xmlns:x14="http://schemas.microsoft.com/office/spreadsheetml/2009/9/main" uri="{78C0D931-6437-407d-A8EE-F0AAD7539E65}">
      <x14:conditionalFormattings>
        <x14:conditionalFormatting xmlns:xm="http://schemas.microsoft.com/office/excel/2006/main">
          <x14:cfRule type="expression" priority="9" id="{A18EE100-DC28-4727-BF16-026884928911}">
            <xm:f>Data1!$E$502="Yes"</xm:f>
            <x14:dxf>
              <font>
                <color theme="0"/>
              </font>
              <fill>
                <patternFill>
                  <bgColor theme="0"/>
                </patternFill>
              </fill>
              <border>
                <left/>
                <right/>
                <top/>
                <bottom/>
              </border>
            </x14:dxf>
          </x14:cfRule>
          <xm:sqref>L3:N3 L5:N5 L7:N7 L11:N11 L13:N13 L18:N18 L23:N24 L28:N31 N33</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dimension ref="A1:Z83"/>
  <sheetViews>
    <sheetView showGridLines="0" zoomScaleNormal="100" zoomScaleSheetLayoutView="100" workbookViewId="0">
      <selection activeCell="D7" sqref="D7:E7"/>
    </sheetView>
  </sheetViews>
  <sheetFormatPr defaultColWidth="8.5546875" defaultRowHeight="14.4"/>
  <cols>
    <col min="1" max="1" width="3" style="42" customWidth="1"/>
    <col min="2" max="3" width="3.5546875" style="42" customWidth="1"/>
    <col min="4" max="4" width="4.44140625" style="42" customWidth="1"/>
    <col min="5" max="7" width="22.44140625" style="42" customWidth="1"/>
    <col min="8" max="8" width="15.5546875" style="42" customWidth="1"/>
    <col min="9" max="9" width="14" style="42" customWidth="1"/>
    <col min="10" max="10" width="36.5546875" style="45" customWidth="1"/>
    <col min="11" max="12" width="3.5546875" style="42" customWidth="1"/>
    <col min="13" max="13" width="31.5546875" style="42" customWidth="1"/>
    <col min="14" max="16384" width="8.5546875" style="42"/>
  </cols>
  <sheetData>
    <row r="1" spans="1:26" ht="35.85" customHeight="1" thickBot="1">
      <c r="A1" s="1714" t="s">
        <v>582</v>
      </c>
      <c r="B1" s="1715"/>
      <c r="C1" s="1715"/>
      <c r="D1" s="1715"/>
      <c r="E1" s="1715"/>
      <c r="F1" s="1715"/>
      <c r="G1" s="1715"/>
      <c r="H1" s="1715"/>
      <c r="I1" s="1716"/>
      <c r="K1" s="1829" t="str">
        <f>"There are "&amp;TEXT(COUNTIF($K$7:$K$66,"=1"),"0")&amp;" required input fields and "&amp;TEXT(COUNTIF($K$7:$K$66,"=2"),"0")&amp;" optional input fields on this tab."&amp;CHAR(10)&amp;"There "&amp;IF(COUNTIFS($K$7:$K$66,"=1",$L$7:$L$66,"=1")=1,"is 1 required input field","are "&amp;TEXT(COUNTIFS($K$7:$K$66,"=1",$L$7:$L$66,"=1"),"0")&amp;" required input fields")&amp;" and "&amp;TEXT(COUNTIFS($K$7:$K$66,"=2",$L$7:$L$66,"=2"),"0")&amp;" optional input field"&amp;IF(COUNTIFS($K$7:$K$66,"=2",$L$7:$L$66,"=2")=1," with an entry","s with entries")&amp;" on this tab."&amp;CHAR(10)&amp;"There "&amp;IF(Data1!G503=1,"is ","are ")&amp;TEXT(Data1!G503,"0")&amp;" required input field"&amp;IF(Data1!G503=1," that needs an entry","s that need entries")&amp;" and "&amp;TEXT(Data1!H503,"0")&amp;" optional input field"&amp;IF(Data1!H503=1," that may or may not need an entry","s that may or may not need entries")&amp;" on this tab."</f>
        <v>There are 0 required input fields and 0 optional input fields on this tab.
There are 0 required input fields and 0 optional input fields with entries on this tab.
There are 0 required input fields that need entries and 0 optional input fields that may or may not need entries on this tab.</v>
      </c>
      <c r="L1" s="1829"/>
      <c r="M1" s="1829"/>
      <c r="N1" s="1829"/>
      <c r="O1" s="1829"/>
      <c r="P1" s="1829"/>
      <c r="Q1" s="1829"/>
      <c r="R1" s="1829"/>
      <c r="S1" s="1829"/>
      <c r="T1" s="1829"/>
      <c r="U1" s="1829"/>
      <c r="V1" s="583"/>
      <c r="W1" s="583"/>
      <c r="X1" s="583"/>
      <c r="Y1" s="583"/>
      <c r="Z1" s="583"/>
    </row>
    <row r="2" spans="1:26">
      <c r="A2" s="4"/>
      <c r="B2" s="4"/>
      <c r="C2" s="4"/>
      <c r="D2" s="4"/>
      <c r="E2" s="4"/>
      <c r="F2" s="4"/>
      <c r="G2" s="4"/>
      <c r="H2" s="4"/>
      <c r="K2" s="1829"/>
      <c r="L2" s="1829"/>
      <c r="M2" s="1829"/>
      <c r="N2" s="1829"/>
      <c r="O2" s="1829"/>
      <c r="P2" s="1829"/>
      <c r="Q2" s="1829"/>
      <c r="R2" s="1829"/>
      <c r="S2" s="1829"/>
      <c r="T2" s="1829"/>
      <c r="U2" s="1829"/>
      <c r="V2" s="583"/>
      <c r="W2" s="583"/>
      <c r="X2" s="583"/>
      <c r="Y2" s="583"/>
      <c r="Z2" s="583"/>
    </row>
    <row r="3" spans="1:26" ht="17.399999999999999" customHeight="1">
      <c r="A3" s="1183" t="str" cm="1">
        <f t="array" ref="A3">IF($K7+$K11+$M23+$M42=0,"",CHAR(CODE(LOOKUP(2,1/(COUNTIF('Development Location'!A$3:A32,"&gt;"&amp;'Development Location'!A$3:A32&amp;"*")=0),'Development Location'!A$3:A32))+1))</f>
        <v/>
      </c>
      <c r="B3" s="17" t="s">
        <v>305</v>
      </c>
      <c r="C3" s="4"/>
      <c r="D3" s="4"/>
      <c r="E3" s="4"/>
      <c r="F3" s="4"/>
      <c r="G3" s="4"/>
      <c r="H3" s="4"/>
    </row>
    <row r="4" spans="1:26" ht="14.4" customHeight="1">
      <c r="A4" s="4"/>
      <c r="B4" s="133" t="s">
        <v>215</v>
      </c>
      <c r="C4" s="6" t="str">
        <f>IF(K7=0,"","PHA")&amp;IF(AND(K7&gt;0,K11&gt;0)," or","")&amp;IF(K11=0,""," RD 515")&amp;" Proximity Point Boost"</f>
        <v xml:space="preserve"> Proximity Point Boost</v>
      </c>
      <c r="E4" s="4"/>
      <c r="F4" s="4"/>
      <c r="G4" s="4"/>
      <c r="H4" s="4"/>
    </row>
    <row r="5" spans="1:26" ht="10.35" customHeight="1">
      <c r="A5" s="4"/>
      <c r="B5" s="7"/>
      <c r="C5" s="7"/>
      <c r="D5" s="4"/>
      <c r="E5" s="4"/>
      <c r="F5" s="4"/>
      <c r="G5" s="4"/>
      <c r="H5" s="4"/>
    </row>
    <row r="6" spans="1:26" ht="14.4" customHeight="1">
      <c r="A6" s="4"/>
      <c r="B6" s="4"/>
      <c r="C6" s="174" t="s">
        <v>224</v>
      </c>
      <c r="D6" s="1829" t="s">
        <v>306</v>
      </c>
      <c r="E6" s="1829"/>
      <c r="F6" s="1829"/>
      <c r="G6" s="1829"/>
      <c r="H6" s="1829"/>
    </row>
    <row r="7" spans="1:26" ht="17.399999999999999" customHeight="1">
      <c r="A7" s="4"/>
      <c r="B7" s="4"/>
      <c r="C7" s="4"/>
      <c r="D7" s="1908" t="s">
        <v>2</v>
      </c>
      <c r="E7" s="1908"/>
      <c r="F7" s="4"/>
      <c r="G7" s="4"/>
      <c r="H7" s="4"/>
      <c r="K7" s="588">
        <v>0</v>
      </c>
      <c r="L7" s="390">
        <f>IF(AND(K7&lt;&gt;0,AND(D7&lt;&gt;"&lt;select one&gt;",B7&lt;&gt;"")),K7,0)</f>
        <v>0</v>
      </c>
      <c r="M7" s="570" t="str">
        <f>CHOOSE(K7+1,"Not to be included in this RFA","A REQUIRED input field for this RFA","An OPTIONAL input field for this RFA")</f>
        <v>Not to be included in this RFA</v>
      </c>
    </row>
    <row r="8" spans="1:26" ht="14.4" customHeight="1">
      <c r="A8" s="4"/>
      <c r="B8" s="4"/>
      <c r="C8" s="4"/>
      <c r="D8" s="4" t="s">
        <v>307</v>
      </c>
      <c r="F8" s="4"/>
      <c r="G8" s="4"/>
      <c r="H8" s="4"/>
    </row>
    <row r="9" spans="1:26" ht="10.35" customHeight="1">
      <c r="A9" s="4"/>
      <c r="B9" s="4"/>
      <c r="C9" s="4"/>
      <c r="D9" s="6"/>
      <c r="E9" s="4"/>
      <c r="F9" s="4"/>
      <c r="G9" s="4"/>
      <c r="H9" s="4"/>
    </row>
    <row r="10" spans="1:26" ht="14.4" customHeight="1">
      <c r="A10" s="4"/>
      <c r="B10" s="4"/>
      <c r="C10" s="174" t="str">
        <f>IF(K7=0,"(a)","(b)")</f>
        <v>(a)</v>
      </c>
      <c r="D10" s="1829" t="s">
        <v>308</v>
      </c>
      <c r="E10" s="1829"/>
      <c r="F10" s="1829"/>
      <c r="G10" s="1829"/>
      <c r="H10" s="1829"/>
    </row>
    <row r="11" spans="1:26" ht="17.399999999999999" customHeight="1">
      <c r="A11" s="4"/>
      <c r="B11" s="4"/>
      <c r="C11" s="4"/>
      <c r="D11" s="1908" t="s">
        <v>2</v>
      </c>
      <c r="E11" s="1908"/>
      <c r="F11" s="4"/>
      <c r="G11" s="4"/>
      <c r="H11" s="1313"/>
      <c r="K11" s="588">
        <v>0</v>
      </c>
      <c r="L11" s="390">
        <f>IF(AND(K11&lt;&gt;0,AND(D11&lt;&gt;"&lt;select one&gt;",B11&lt;&gt;"")),K11,0)</f>
        <v>0</v>
      </c>
      <c r="M11" s="570" t="str">
        <f>CHOOSE(K11+1,"Not to be included in this RFA","A REQUIRED input field for this RFA","An OPTIONAL input field for this RFA")</f>
        <v>Not to be included in this RFA</v>
      </c>
    </row>
    <row r="12" spans="1:26" ht="14.4" customHeight="1">
      <c r="A12" s="4"/>
      <c r="B12" s="4"/>
      <c r="C12" s="4"/>
      <c r="D12" s="4" t="s">
        <v>309</v>
      </c>
      <c r="F12" s="4"/>
      <c r="G12" s="4"/>
      <c r="H12" s="1313"/>
    </row>
    <row r="13" spans="1:26" ht="10.35" customHeight="1">
      <c r="A13" s="4"/>
      <c r="B13" s="4"/>
      <c r="C13" s="4"/>
      <c r="D13" s="4"/>
      <c r="E13" s="4"/>
      <c r="F13" s="4"/>
      <c r="G13" s="4"/>
      <c r="H13" s="4"/>
    </row>
    <row r="14" spans="1:26" ht="14.4" customHeight="1">
      <c r="A14" s="4"/>
      <c r="B14" s="133" t="s">
        <v>217</v>
      </c>
      <c r="C14" s="162" t="s">
        <v>310</v>
      </c>
      <c r="E14" s="4"/>
      <c r="F14" s="4"/>
      <c r="G14" s="4"/>
      <c r="H14" s="4"/>
    </row>
    <row r="15" spans="1:26" ht="10.35" customHeight="1">
      <c r="A15" s="4"/>
      <c r="B15" s="4"/>
      <c r="C15" s="4"/>
      <c r="D15" s="4"/>
      <c r="E15" s="4"/>
      <c r="F15" s="4"/>
      <c r="G15" s="4"/>
      <c r="H15" s="4"/>
    </row>
    <row r="16" spans="1:26" ht="35.1" customHeight="1">
      <c r="A16" s="4"/>
      <c r="B16" s="4"/>
      <c r="C16" s="1829" t="str">
        <f>"Applicants may select Private Transportation or provide the location information and distance for one of the remaining "&amp;IF(K29=0,"three","four")&amp;" Transit Services on which to base the Application’s Transit Score."</f>
        <v>Applicants may select Private Transportation or provide the location information and distance for one of the remaining three Transit Services on which to base the Application’s Transit Score.</v>
      </c>
      <c r="D16" s="1829"/>
      <c r="E16" s="1829"/>
      <c r="F16" s="1829"/>
      <c r="G16" s="1829"/>
      <c r="H16" s="1829"/>
      <c r="I16" s="1829"/>
    </row>
    <row r="17" spans="1:16" ht="7.5" customHeight="1">
      <c r="A17" s="4"/>
      <c r="B17" s="4"/>
      <c r="C17" s="4"/>
      <c r="D17" s="143"/>
      <c r="E17" s="143"/>
      <c r="F17" s="143"/>
      <c r="G17" s="143"/>
      <c r="H17" s="143"/>
    </row>
    <row r="18" spans="1:16" ht="35.1" customHeight="1">
      <c r="A18" s="4"/>
      <c r="B18" s="4"/>
      <c r="C18" s="174" t="s">
        <v>224</v>
      </c>
      <c r="D18" s="1829" t="s">
        <v>311</v>
      </c>
      <c r="E18" s="1829"/>
      <c r="F18" s="1829"/>
      <c r="G18" s="1829"/>
      <c r="H18" s="1829"/>
      <c r="I18" s="1829"/>
    </row>
    <row r="19" spans="1:16" ht="17.399999999999999" customHeight="1">
      <c r="A19" s="4"/>
      <c r="B19" s="4"/>
      <c r="C19" s="4"/>
      <c r="D19" s="1908" t="s">
        <v>2</v>
      </c>
      <c r="E19" s="1908"/>
      <c r="F19" s="1909" t="str">
        <f>IF(OR(Demographic="Elderly ALF",Demographic="Elderly Non-ALF"),"(The proposed Development's Demographic Commitment is "&amp;Demographic&amp;", which qualifies to select this option.)",IF(OR(Demographic="&lt;select one&gt;",Demographic=""),"","(The proposed Development does not qualify to select this option with a Demographic Commitment of "&amp;Demographic&amp;".)"))</f>
        <v>(The proposed Development does not qualify to select this option with a Demographic Commitment of Persons with Special Needs.)</v>
      </c>
      <c r="G19" s="1909"/>
      <c r="H19" s="1909"/>
      <c r="I19" s="1909"/>
      <c r="K19" s="588">
        <v>0</v>
      </c>
      <c r="L19" s="390">
        <f>IF(AND(K19&lt;&gt;0,AND(D19&lt;&gt;"&lt;select one&gt;",B19&lt;&gt;"")),K19,0)</f>
        <v>0</v>
      </c>
      <c r="M19" s="1522" t="str">
        <f>CHOOSE(K19+1,"Not to be included in this RFA","A REQUIRED input field for this RFA","An OPTIONAL input field for this RFA")</f>
        <v>Not to be included in this RFA</v>
      </c>
    </row>
    <row r="20" spans="1:16" ht="9.75" customHeight="1">
      <c r="A20" s="4"/>
      <c r="B20" s="4"/>
      <c r="C20" s="4"/>
      <c r="D20" s="4"/>
      <c r="E20" s="4"/>
      <c r="F20" s="1909"/>
      <c r="G20" s="1909"/>
      <c r="H20" s="1909"/>
      <c r="I20" s="1909"/>
    </row>
    <row r="21" spans="1:16">
      <c r="A21" s="4"/>
      <c r="B21" s="4"/>
      <c r="C21" s="174" t="str">
        <f>IF(K19=0,"(a)","(b)")</f>
        <v>(a)</v>
      </c>
      <c r="D21" s="6" t="s">
        <v>312</v>
      </c>
      <c r="F21" s="4"/>
      <c r="G21" s="4"/>
      <c r="M21" s="454"/>
    </row>
    <row r="22" spans="1:16" ht="10.5" customHeight="1">
      <c r="A22" s="4"/>
      <c r="B22" s="4"/>
      <c r="C22" s="4"/>
      <c r="D22" s="4"/>
      <c r="E22" s="4"/>
      <c r="F22" s="4"/>
      <c r="G22" s="4"/>
      <c r="H22" s="4"/>
    </row>
    <row r="23" spans="1:16" ht="43.2">
      <c r="A23" s="4"/>
      <c r="B23" s="4"/>
      <c r="C23" s="4"/>
      <c r="D23" s="4"/>
      <c r="E23" s="47" t="s">
        <v>313</v>
      </c>
      <c r="F23" s="84" t="s">
        <v>314</v>
      </c>
      <c r="G23" s="84" t="s">
        <v>315</v>
      </c>
      <c r="H23" s="48" t="s">
        <v>316</v>
      </c>
      <c r="I23" s="1030" t="s">
        <v>1509</v>
      </c>
      <c r="J23" s="1032"/>
      <c r="M23" s="576">
        <v>0</v>
      </c>
      <c r="P23"/>
    </row>
    <row r="24" spans="1:16" ht="30" customHeight="1">
      <c r="A24" s="4"/>
      <c r="B24" s="4"/>
      <c r="C24" s="4"/>
      <c r="D24" s="4"/>
      <c r="E24" s="186" t="s">
        <v>317</v>
      </c>
      <c r="F24" s="1031"/>
      <c r="G24" s="1031"/>
      <c r="H24" s="1031"/>
      <c r="I24" s="1914" t="str">
        <f>IF(number_of_PBS=0,"",IF(AND(County_Size="Small",number_of_PBS=1,Greatest_distance_for_PBS&lt;=0.3),2,IF(AND(County_Size="Small",number_of_PBS=1,Greatest_distance_for_PBS&lt;=0.75),1.5,IF(AND(County_Size="Small",number_of_PBS=1,Greatest_distance_for_PBS&lt;=1),1,IF(AND(County_Size="Small",number_of_PBS=2,Greatest_distance_for_PBS&lt;=0.3),4,IF(AND(County_Size="Small",number_of_PBS=2,Greatest_distance_for_PBS&lt;=0.75),3,IF(AND(County_Size="Small",number_of_PBS=2,Greatest_distance_for_PBS&lt;=1),2,IF(AND(County_Size="Small",number_of_PBS=2,Greatest_distance_for_PBS&lt;=1.25),1,IF(AND(County_Size="Small",number_of_PBS=3,Greatest_distance_for_PBS&lt;=0.3),6,IF(AND(County_Size="Small",number_of_PBS=3,Greatest_distance_for_PBS&lt;=0.75),5.5,IF(AND(County_Size="Small",number_of_PBS=3,Greatest_distance_for_PBS&lt;=1),5,IF(AND(County_Size="Small",number_of_PBS=3,Greatest_distance_for_PBS&lt;=1.25),4.5,IF(AND(OR(County_Size="Medium",County_Size="Large"),number_of_PBS=1,Greatest_distance_for_PBS&lt;=0.3),2,IF(AND(OR(County_Size="Medium",County_Size="Large"),number_of_PBS=1,Greatest_distance_for_PBS&lt;=0.4),1.5,IF(AND(OR(County_Size="Medium",County_Size="Large"),number_of_PBS=1,Greatest_distance_for_PBS&lt;=0.5),1,IF(AND(OR(County_Size="Medium",County_Size="Large"),number_of_PBS=2,Greatest_distance_for_PBS&lt;=0.3),4,IF(AND(OR(County_Size="Medium",County_Size="Large"),number_of_PBS=2,Greatest_distance_for_PBS&lt;=0.4),3,IF(AND(OR(County_Size="Medium",County_Size="Large"),number_of_PBS=2,Greatest_distance_for_PBS&lt;=0.5),2,IF(AND(OR(County_Size="Medium",County_Size="Large"),number_of_PBS=2,Greatest_distance_for_PBS&lt;=0.75),1,IF(AND(OR(County_Size="Medium",County_Size="Large"),number_of_PBS=3,Greatest_distance_for_PBS&lt;=0.3),6,IF(AND(OR(County_Size="Medium",County_Size="Large"),number_of_PBS=3,Greatest_distance_for_PBS&lt;=0.5),5.5,IF(AND(OR(County_Size="Medium",County_Size="Large"),number_of_PBS=3,Greatest_distance_for_PBS&lt;=0.75),5,IF(AND(OR(County_Size="Medium",County_Size="Large"),number_of_PBS=3,Greatest_distance_for_PBS&lt;=1),4.5,0)))))))))))))))))))))))</f>
        <v/>
      </c>
      <c r="J24" s="1302" t="str">
        <f t="shared" ref="J24:J29" si="0">IF(AND($F24="",$G24=""),"",IF($F24=""," Latitude point not provided",IF(AND(VALUE($F24)&gt;0,LEN($F24)&lt;IFERROR(FIND(".",$F24)+6,0))," Latitude is not 6 decimals",IF(AND(VALUE($F24)&lt;0,LEN($F24)&gt;IFERROR(FIND(".",$F24)+5,0))," Latitude not listed as a positive #",IF(AND(VALUE($F24)&lt;0,LEN($F24)&lt;IFERROR(FIND(".",$F24)+6,0))," Latitude not listed as a positive # &amp; it is not 6 decimals",""))))&amp;IF(AND(OR(AND(VALUE($F24)&gt;0,LEN($F24)&lt;IFERROR(FIND(".",$F24)+6,0)),VALUE($F24)&lt;0),OR(AND(VALUE($G24)&lt;0,LEN($G24)&lt;IFERROR(FIND(".",$G24)+6,0)),VALUE($G24)&gt;0)),";","")&amp;IF($G24=""," Longitude point not provided",IF(AND(VALUE($G24)&lt;0,LEN($G24)&lt;IFERROR(FIND(".",$G24)+6,0))," Longitude is not 6 decimals",IF(AND(VALUE($G24)&gt;0,LEN($G24)&lt;IFERROR(FIND(".",$G24)+6,0))," Longitude not listed as a negative # &amp; it is not 6 decimals",IF(VALUE($G24)&gt;0," Longitude not listed as a negative #","")))))</f>
        <v/>
      </c>
      <c r="K24" s="657">
        <f>IF($M$23=0,0,IF($M$23=2,2,IF(IF(IF($F$24="",0,1)+IF($G$24="",0,1)+IF($H$24="",0,1)=3,2,0)+IF(IF($F$25="",0,1)+IF($G$25="",0,1)+IF($H$25="",0,1)=3,2,0)+IF(IF($F$26="",0,1)+IF($G$26="",0,1)+IF($H$26="",0,1)=3,2,0)+IF(IF($F$27="",0,1)+IF($G$27="",0,1)+IF($H$27="",0,1)=3,6,0)+IF(IF($F$28="",0,1)+IF($G$28="",0,1)+IF($H$28="",0,1)=3,6,0)+IF(IF($F$29="",0,1)+IF($G$29="",0,1)+IF($H$29="",0,1)=3,6,0)+IF($D$19="Yes",2,0)&lt;12,1,IF(IF($F24="",0,1)+IF($G24="",0,1)+IF($H24="",0,1)=3,1,2))))</f>
        <v>0</v>
      </c>
      <c r="L24" s="390">
        <f t="shared" ref="L24:L29" si="1">IF(AND(K24&lt;&gt;0,AND(F24&lt;&gt;"",G24&lt;&gt;"",H24&lt;&gt;"")),K24,0)</f>
        <v>0</v>
      </c>
      <c r="M24" s="570" t="str">
        <f t="shared" ref="M24:M29" si="2">CHOOSE(K24+1,"Not to be included in this RFA","A REQUIRED input field for this RFA","An OPTIONAL input field for this RFA")</f>
        <v>Not to be included in this RFA</v>
      </c>
      <c r="P24"/>
    </row>
    <row r="25" spans="1:16" ht="30" customHeight="1">
      <c r="A25" s="4"/>
      <c r="B25" s="4"/>
      <c r="C25" s="4"/>
      <c r="D25" s="4"/>
      <c r="E25" s="186" t="s">
        <v>318</v>
      </c>
      <c r="F25" s="1031"/>
      <c r="G25" s="1031"/>
      <c r="H25" s="1031"/>
      <c r="I25" s="1915"/>
      <c r="J25" s="1302" t="str">
        <f t="shared" si="0"/>
        <v/>
      </c>
      <c r="K25" s="657">
        <f>IF($M$23=0,0,IF($M$23=2,2,IF(IF(IF($F$24="",0,1)+IF($G$24="",0,1)+IF($H$24="",0,1)=3,2,0)+IF(IF($F$25="",0,1)+IF($G$25="",0,1)+IF($H$25="",0,1)=3,2,0)+IF(IF($F$26="",0,1)+IF($G$26="",0,1)+IF($H$26="",0,1)=3,2,0)+IF(IF($F$27="",0,1)+IF($G$27="",0,1)+IF($H$27="",0,1)=3,6,0)+IF(IF($F$28="",0,1)+IF($G$28="",0,1)+IF($H$28="",0,1)=3,6,0)+IF(IF($F$29="",0,1)+IF($G$29="",0,1)+IF($H$29="",0,1)=3,6,0)+IF($D$19="Yes",2,0)&lt;12,1,IF(IF($F25="",0,1)+IF($G25="",0,1)+IF($H25="",0,1)=3,1,2))))</f>
        <v>0</v>
      </c>
      <c r="L25" s="390">
        <f t="shared" si="1"/>
        <v>0</v>
      </c>
      <c r="M25" s="570" t="str">
        <f t="shared" si="2"/>
        <v>Not to be included in this RFA</v>
      </c>
      <c r="P25"/>
    </row>
    <row r="26" spans="1:16" ht="30" customHeight="1">
      <c r="A26" s="4"/>
      <c r="B26" s="4"/>
      <c r="C26" s="4"/>
      <c r="D26" s="4"/>
      <c r="E26" s="186" t="s">
        <v>319</v>
      </c>
      <c r="F26" s="1031"/>
      <c r="G26" s="1031"/>
      <c r="H26" s="1031"/>
      <c r="I26" s="1916"/>
      <c r="J26" s="1302" t="str">
        <f t="shared" si="0"/>
        <v/>
      </c>
      <c r="K26" s="657">
        <f>IF($M$23=0,0,IF($M$23=2,2,IF(IF(IF($F$24="",0,1)+IF($G$24="",0,1)+IF($H$24="",0,1)=3,2,0)+IF(IF($F$25="",0,1)+IF($G$25="",0,1)+IF($H$25="",0,1)=3,2,0)+IF(IF($F$26="",0,1)+IF($G$26="",0,1)+IF($H$26="",0,1)=3,2,0)+IF(IF($F$27="",0,1)+IF($G$27="",0,1)+IF($H$27="",0,1)=3,6,0)+IF(IF($F$28="",0,1)+IF($G$28="",0,1)+IF($H$28="",0,1)=3,6,0)+IF(IF($F$29="",0,1)+IF($G$29="",0,1)+IF($H$29="",0,1)=3,6,0)+IF($D$19="Yes",2,0)&lt;12,1,IF(IF($F26="",0,1)+IF($G26="",0,1)+IF($H26="",0,1)=3,1,2))))</f>
        <v>0</v>
      </c>
      <c r="L26" s="390">
        <f t="shared" si="1"/>
        <v>0</v>
      </c>
      <c r="M26" s="570" t="str">
        <f t="shared" si="2"/>
        <v>Not to be included in this RFA</v>
      </c>
    </row>
    <row r="27" spans="1:16" ht="30" customHeight="1">
      <c r="A27" s="4"/>
      <c r="B27" s="4"/>
      <c r="C27" s="4"/>
      <c r="D27" s="4"/>
      <c r="E27" s="187" t="s">
        <v>320</v>
      </c>
      <c r="F27" s="1031"/>
      <c r="G27" s="1031"/>
      <c r="H27" s="1031"/>
      <c r="I27" s="1526" t="str">
        <f>IF(OR(Transit_BTS_lat="",Transit_BTS_long="",Transit_BTS_distance=""),"",IF(AND(County_Size="Small",Transit_BTS_distance&lt;=0.3),6,IF(AND(County_Size="Small",Transit_BTS_distance&lt;=0.75),5.5,IF(AND(County_Size="Small",Transit_BTS_distance&lt;=1),5,IF(AND(County_Size="Small",Transit_BTS_distance&lt;=1.25),4.5,IF(AND(County_Size="Small",Transit_BTS_distance&lt;=1.5),4,IF(AND(County_Size="Small",Transit_BTS_distance&lt;=1.75),3.5,IF(AND(County_Size="Small",Transit_BTS_distance&lt;=2),3,IF(AND(County_Size="Small",Transit_BTS_distance&lt;=2.5),2.5,IF(AND(OR(County_Size="Medium",County_Size="Large"),Transit_BTS_distance&lt;=0.3),6,IF(AND(OR(County_Size="Medium",County_Size="Large"),Transit_BTS_distance&lt;=0.75),5,IF(AND(OR(County_Size="Medium",County_Size="Large"),Transit_BTS_distance&lt;=1),4.5,IF(AND(OR(County_Size="Medium",County_Size="Large"),Transit_BTS_distance&lt;=1.25),4,IF(AND(OR(County_Size="Medium",County_Size="Large"),Transit_BTS_distance&lt;=1.5),3.5,IF(AND(OR(County_Size="Medium",County_Size="Large"),Transit_BTS_distance&lt;=1.75),3,IF(AND(OR(County_Size="Medium",County_Size="Large"),Transit_BTS_distance&lt;=2),2.5,0))))))))))))))))</f>
        <v/>
      </c>
      <c r="J27" s="1302" t="str">
        <f t="shared" si="0"/>
        <v/>
      </c>
      <c r="K27" s="657">
        <f>IF($M$23=0,0,IF($M$23=2,2,IF(IF(IF($F$24="",0,1)+IF($G$24="",0,1)+IF($H$24="",0,1)=3,2,0)+IF(IF($F$25="",0,1)+IF($G$25="",0,1)+IF($H$25="",0,1)=3,2,0)+IF(IF($F$26="",0,1)+IF($G$26="",0,1)+IF($H$26="",0,1)=3,2,0)+IF(IF($F$27="",0,1)+IF($G$27="",0,1)+IF($H$27="",0,1)=3,6,0)+IF(IF($F$28="",0,1)+IF($G$28="",0,1)+IF($H$28="",0,1)=3,6,0)+IF(IF($F$29="",0,1)+IF($G$29="",0,1)+IF($H$29="",0,1)=3,6,0)+IF($D$19="Yes",2,0)&lt;12,1,IF(IF($F27="",0,1)+IF($G27="",0,1)+IF($H27="",0,1)=3,1,2))))</f>
        <v>0</v>
      </c>
      <c r="L27" s="390">
        <f t="shared" si="1"/>
        <v>0</v>
      </c>
      <c r="M27" s="570" t="str">
        <f t="shared" si="2"/>
        <v>Not to be included in this RFA</v>
      </c>
    </row>
    <row r="28" spans="1:16" ht="30" customHeight="1">
      <c r="A28" s="4"/>
      <c r="B28" s="4"/>
      <c r="C28" s="4"/>
      <c r="D28" s="4"/>
      <c r="E28" s="187" t="s">
        <v>321</v>
      </c>
      <c r="F28" s="1031"/>
      <c r="G28" s="1031"/>
      <c r="H28" s="1031"/>
      <c r="I28" s="1526" t="str">
        <f>IF(OR(Transit_PBRTS_lat="",Transit_PBRTS_long="",Transit_PBRTS_distance=""),"",IF(AND(County_Size="Small",Transit_PBRTS_distance&lt;=0.3),6,IF(AND(County_Size="Small",Transit_PBRTS_distance&lt;=0.75),5.5,IF(AND(County_Size="Small",Transit_PBRTS_distance&lt;=1),5,IF(AND(County_Size="Small",Transit_PBRTS_distance&lt;=1.25),4.5,IF(AND(County_Size="Small",Transit_PBRTS_distance&lt;=1.5),4,IF(AND(County_Size="Small",Transit_PBRTS_distance&lt;=1.75),3.5,IF(AND(County_Size="Small",Transit_PBRTS_distance&lt;=2),3,IF(AND(County_Size="Small",Transit_PBRTS_distance&lt;=2.5),2.5,IF(AND(OR(County_Size="Medium",County_Size="Large"),Transit_PBRTS_distance&lt;=0.3),6,IF(AND(OR(County_Size="Medium",County_Size="Large"),Transit_PBRTS_distance&lt;=0.75),5,IF(AND(OR(County_Size="Medium",County_Size="Large"),Transit_PBRTS_distance&lt;=1),4.5,IF(AND(OR(County_Size="Medium",County_Size="Large"),Transit_PBRTS_distance&lt;=1.25),4,IF(AND(OR(County_Size="Medium",County_Size="Large"),Transit_PBRTS_distance&lt;=1.5),3.5,IF(AND(OR(County_Size="Medium",County_Size="Large"),Transit_PBRTS_distance&lt;=1.75),3,IF(AND(OR(County_Size="Medium",County_Size="Large"),Transit_PBRTS_distance&lt;=2),2.5,0))))))))))))))))</f>
        <v/>
      </c>
      <c r="J28" s="1302" t="str">
        <f t="shared" si="0"/>
        <v/>
      </c>
      <c r="K28" s="657">
        <f>IF($M$23=0,0,IF($M$23=2,2,IF(IF(IF($F$24="",0,1)+IF($G$24="",0,1)+IF($H$24="",0,1)=3,2,0)+IF(IF($F$25="",0,1)+IF($G$25="",0,1)+IF($H$25="",0,1)=3,2,0)+IF(IF($F$26="",0,1)+IF($G$26="",0,1)+IF($H$26="",0,1)=3,2,0)+IF(IF($F$27="",0,1)+IF($G$27="",0,1)+IF($H$27="",0,1)=3,6,0)+IF(IF($F$28="",0,1)+IF($G$28="",0,1)+IF($H$28="",0,1)=3,6,0)+IF(IF($F$29="",0,1)+IF($G$29="",0,1)+IF($H$29="",0,1)=3,6,0)+IF($D$19="Yes",2,0)&lt;12,1,IF(IF($F28="",0,1)+IF($G28="",0,1)+IF($H28="",0,1)=3,1,2))))</f>
        <v>0</v>
      </c>
      <c r="L28" s="390">
        <f t="shared" si="1"/>
        <v>0</v>
      </c>
      <c r="M28" s="570" t="str">
        <f t="shared" si="2"/>
        <v>Not to be included in this RFA</v>
      </c>
    </row>
    <row r="29" spans="1:16" ht="30" customHeight="1">
      <c r="A29" s="4"/>
      <c r="B29" s="4"/>
      <c r="C29" s="4"/>
      <c r="D29" s="4"/>
      <c r="E29" s="187" t="s">
        <v>1660</v>
      </c>
      <c r="F29" s="1031"/>
      <c r="G29" s="1031"/>
      <c r="H29" s="1031"/>
      <c r="I29" s="1526" t="str">
        <f>IF(OR(Transit_Rail_lat="",Transit_Rail_long="",Transit_Rail_distance=""),"",IF(AND(County_Size="Small",Transit_Rail_distance&lt;=0.3),6,IF(AND(County_Size="Small",Transit_Rail_distance&lt;=0.75),5.5,IF(AND(County_Size="Small",Transit_Rail_distance&lt;=1),5,IF(AND(County_Size="Small",Transit_Rail_distance&lt;=1.25),4.5,IF(AND(County_Size="Small",Transit_Rail_distance&lt;=1.5),4,IF(AND(County_Size="Small",Transit_Rail_distance&lt;=1.75),3.5,IF(AND(County_Size="Small",Transit_Rail_distance&lt;=2),3,IF(AND(County_Size="Small",Transit_Rail_distance&lt;=2.5),2.5,IF(AND(OR(County_Size="Medium",County_Size="Large"),Transit_Rail_distance&lt;=0.3),6,IF(AND(OR(County_Size="Medium",County_Size="Large"),Transit_Rail_distance&lt;=0.75),5,IF(AND(OR(County_Size="Medium",County_Size="Large"),Transit_Rail_distance&lt;=1),4.5,IF(AND(OR(County_Size="Medium",County_Size="Large"),Transit_Rail_distance&lt;=1.25),4,IF(AND(OR(County_Size="Medium",County_Size="Large"),Transit_Rail_distance&lt;=1.5),3.5,IF(AND(OR(County_Size="Medium",County_Size="Large"),Transit_Rail_distance&lt;=1.75),3,IF(AND(OR(County_Size="Medium",County_Size="Large"),Transit_Rail_distance&lt;=2),2.5,0))))))))))))))))</f>
        <v/>
      </c>
      <c r="J29" s="1302" t="str">
        <f t="shared" si="0"/>
        <v/>
      </c>
      <c r="K29" s="657">
        <f>IF(M30=0,0,IF($M$23=0,0,IF($M$23=2,2,IF(IF(IF($F$24="",0,1)+IF($G$24="",0,1)+IF($H$24="",0,1)=3,2,0)+IF(IF($F$25="",0,1)+IF($G$25="",0,1)+IF($H$25="",0,1)=3,2,0)+IF(IF($F$26="",0,1)+IF($G$26="",0,1)+IF($H$26="",0,1)=3,2,0)+IF(IF($F$27="",0,1)+IF($G$27="",0,1)+IF($H$27="",0,1)=3,6,0)+IF(IF($F$28="",0,1)+IF($G$28="",0,1)+IF($H$28="",0,1)=3,6,0)+IF(IF($F$29="",0,1)+IF($G$29="",0,1)+IF($H$29="",0,1)=3,6,0)+IF($D$19="Yes",2,0)&lt;12,1,IF(IF($F29="",0,1)+IF($G29="",0,1)+IF($H29="",0,1)=3,1,2)))))</f>
        <v>0</v>
      </c>
      <c r="L29" s="390">
        <f t="shared" si="1"/>
        <v>0</v>
      </c>
      <c r="M29" s="570" t="str">
        <f t="shared" si="2"/>
        <v>Not to be included in this RFA</v>
      </c>
    </row>
    <row r="30" spans="1:16" ht="17.399999999999999" customHeight="1">
      <c r="A30" s="4"/>
      <c r="B30" s="4"/>
      <c r="C30" s="4"/>
      <c r="D30" s="4"/>
      <c r="E30" s="13"/>
      <c r="H30" s="1198"/>
      <c r="K30" s="657"/>
      <c r="L30" s="390"/>
      <c r="M30" s="582">
        <v>1</v>
      </c>
    </row>
    <row r="31" spans="1:16" ht="21.75" customHeight="1">
      <c r="A31" s="4"/>
      <c r="B31" s="4"/>
      <c r="C31" s="4"/>
      <c r="D31" s="4"/>
      <c r="E31" s="1301" t="str">
        <f>IF(AND(Private_transportation="Yes",OR(Transit_PBS_points&lt;&gt;"",Transit_BTS_points&lt;&gt;"",Transit_PBRTS_points&lt;&gt;"",Transit_Rail_points&lt;&gt;"")),"Only one type of transit may be selected.",IF(COUNT(I24:I29)&gt;1,"Only one type of transit may be selected.",""))</f>
        <v/>
      </c>
      <c r="H31" s="4"/>
    </row>
    <row r="32" spans="1:16" ht="14.4" customHeight="1">
      <c r="A32" s="4"/>
      <c r="B32" s="4"/>
      <c r="C32" s="1222" t="str">
        <f>IF(K19=0,"(b)","(c)")</f>
        <v>(b)</v>
      </c>
      <c r="D32" t="s">
        <v>1704</v>
      </c>
      <c r="E32" s="4"/>
      <c r="H32" s="4"/>
      <c r="M32" s="1223">
        <v>1</v>
      </c>
    </row>
    <row r="33" spans="1:13" ht="14.4" customHeight="1">
      <c r="A33" s="4"/>
      <c r="B33" s="4"/>
      <c r="C33" s="4"/>
      <c r="D33" s="4" t="s">
        <v>1705</v>
      </c>
      <c r="E33" s="4"/>
      <c r="H33" s="4"/>
    </row>
    <row r="34" spans="1:13" ht="17.399999999999999" customHeight="1">
      <c r="A34" s="4"/>
      <c r="B34" s="4"/>
      <c r="C34" s="4"/>
      <c r="D34" s="1908" t="s">
        <v>2</v>
      </c>
      <c r="E34" s="1908"/>
      <c r="H34" s="4"/>
      <c r="K34" s="397">
        <v>0</v>
      </c>
      <c r="L34" s="627">
        <f>IF(AND(K34&lt;&gt;0,AND(D34&lt;&gt;"&lt;select one&gt;",D34&lt;&gt;"")),K34,0)</f>
        <v>0</v>
      </c>
      <c r="M34" s="1201" t="str">
        <f>CHOOSE(K34+1,"Not to be included in this RFA","A REQUIRED input field for this RFA","An OPTIONAL input field for this RFA")</f>
        <v>Not to be included in this RFA</v>
      </c>
    </row>
    <row r="35" spans="1:13" ht="10.35" customHeight="1">
      <c r="A35" s="4"/>
      <c r="B35" s="4"/>
      <c r="C35" s="4"/>
      <c r="D35" s="4"/>
      <c r="E35" s="4"/>
      <c r="H35" s="4"/>
    </row>
    <row r="36" spans="1:13" ht="14.4" customHeight="1">
      <c r="A36" s="4"/>
      <c r="B36" s="4"/>
      <c r="C36" s="4"/>
      <c r="D36" s="4" t="s">
        <v>1706</v>
      </c>
      <c r="E36" s="4"/>
      <c r="H36" s="4"/>
    </row>
    <row r="37" spans="1:13" ht="30" customHeight="1">
      <c r="A37" s="4"/>
      <c r="B37" s="4"/>
      <c r="C37" s="4"/>
      <c r="D37" s="1912"/>
      <c r="E37" s="1912"/>
      <c r="F37" s="1912"/>
      <c r="G37" s="1912"/>
      <c r="H37" s="1912"/>
      <c r="I37" s="1912"/>
      <c r="K37" s="397">
        <v>0</v>
      </c>
      <c r="L37" s="627">
        <f>IF(AND(K37&lt;&gt;0,AND(D34&lt;&gt;"&lt;select one&gt;",D37&lt;&gt;"")),K37,0)</f>
        <v>0</v>
      </c>
      <c r="M37" s="1201" t="str">
        <f>CHOOSE(K37+1,"Not to be included in this RFA","A REQUIRED input field for this RFA","An OPTIONAL input field for this RFA")</f>
        <v>Not to be included in this RFA</v>
      </c>
    </row>
    <row r="38" spans="1:13" ht="10.35" customHeight="1">
      <c r="A38" s="4"/>
      <c r="B38" s="4"/>
      <c r="C38" s="4"/>
      <c r="D38" s="4"/>
      <c r="E38" s="4"/>
      <c r="H38" s="4"/>
    </row>
    <row r="39" spans="1:13" ht="14.4" customHeight="1">
      <c r="A39" s="4"/>
      <c r="B39" s="133" t="s">
        <v>219</v>
      </c>
      <c r="C39" s="6" t="s">
        <v>322</v>
      </c>
      <c r="E39" s="4"/>
      <c r="F39" s="4"/>
      <c r="G39" s="4"/>
      <c r="H39" s="4"/>
    </row>
    <row r="40" spans="1:13" ht="14.4" customHeight="1">
      <c r="A40" s="4"/>
      <c r="B40" s="4"/>
      <c r="C40" s="1829" t="s">
        <v>323</v>
      </c>
      <c r="D40" s="1829"/>
      <c r="E40" s="1829"/>
      <c r="F40" s="1829"/>
      <c r="G40" s="1829"/>
      <c r="H40" s="1829"/>
      <c r="I40" s="1829"/>
    </row>
    <row r="41" spans="1:13" ht="10.35" customHeight="1">
      <c r="A41" s="4"/>
      <c r="B41" s="4"/>
      <c r="C41" s="4"/>
      <c r="D41" s="4"/>
      <c r="E41" s="4"/>
      <c r="F41" s="4"/>
      <c r="G41" s="4"/>
      <c r="H41" s="4"/>
    </row>
    <row r="42" spans="1:13" ht="72">
      <c r="A42" s="4"/>
      <c r="B42" s="4"/>
      <c r="C42" s="4"/>
      <c r="D42" s="4"/>
      <c r="E42" s="48" t="s">
        <v>313</v>
      </c>
      <c r="F42" s="48" t="s">
        <v>324</v>
      </c>
      <c r="G42" s="48" t="s">
        <v>325</v>
      </c>
      <c r="H42" s="48" t="s">
        <v>316</v>
      </c>
      <c r="I42" s="1030" t="s">
        <v>1518</v>
      </c>
      <c r="M42" s="576">
        <v>0</v>
      </c>
    </row>
    <row r="43" spans="1:13" ht="29.4" customHeight="1">
      <c r="A43" s="4"/>
      <c r="B43" s="4"/>
      <c r="C43" s="4"/>
      <c r="D43" s="4"/>
      <c r="E43" s="186" t="s">
        <v>326</v>
      </c>
      <c r="F43" s="49"/>
      <c r="G43" s="50"/>
      <c r="H43" s="1031"/>
      <c r="I43" s="1527" t="str">
        <f>IF(OR(Grocery_Name="",Grocery_Address="",Grocery_Distance=""),"",IF(AND(County_Size="Small",Grocery_Distance&lt;=0.3),4,IF(AND(County_Size="Small",Grocery_Distance&lt;=0.75),3.5,IF(AND(County_Size="Small",Grocery_Distance&lt;=1),3,IF(AND(County_Size="Small",Grocery_Distance&lt;=1.25),2.5,IF(AND(County_Size="Small",Grocery_Distance&lt;=1.5),2,IF(AND(County_Size="Small",Grocery_Distance&lt;=1.75),1.5,IF(AND(County_Size="Small",Grocery_Distance&lt;=2),1,IF(AND(County_Size="Small",Grocery_Distance&lt;=2.25),0.5,IF(AND(OR(County_Size="Medium",County_Size="Large"),Grocery_Distance&lt;=0.3),4,IF(AND(OR(County_Size="Medium",County_Size="Large"),Grocery_Distance&lt;=0.5),3.5,IF(AND(OR(County_Size="Medium",County_Size="Large"),Grocery_Distance&lt;=0.75),3,IF(AND(OR(County_Size="Medium",County_Size="Large"),Grocery_Distance&lt;=1),2.5,IF(AND(OR(County_Size="Medium",County_Size="Large"),Grocery_Distance&lt;=1.25),2,IF(AND(OR(County_Size="Medium",County_Size="Large"),Grocery_Distance&lt;=1.5),1.5,IF(AND(OR(County_Size="Medium",County_Size="Large"),Grocery_Distance&lt;=1.75),1,IF(AND(OR(County_Size="Medium",County_Size="Large"),Grocery_Distance&lt;=2,0.5),0)))))))))))))))))</f>
        <v/>
      </c>
      <c r="K43" s="383">
        <f>IF($M$42=0,0,IF($M$42=2,2,IF(IF(IF($F$43="",0,1)+IF($G$43="",0,1)+IF($H$43="",0,1)=3,1,0)+IF(IF($F$44="",0,1)+IF($G$44="",0,1)+IF($H$44="",0,1)=3,1,0)+IF(IF($F$45="",0,1)+IF($G$45="",0,1)+IF($H$45="",0,1)=3,1,0)+IF(IF($F$46="",0,1)+IF($G$46="",0,1)+IF($H$46="",0,1)=3,1,0)&lt;3,1,IF(IF($F43="",0,1)+IF($G43="",0,1)+IF($H43="",0,1)=3,1,2))))</f>
        <v>0</v>
      </c>
      <c r="L43" s="390">
        <f>IF(AND(K43&lt;&gt;0,AND(F43&lt;&gt;"",G43&lt;&gt;"",H43&lt;&gt;"")),K43,0)</f>
        <v>0</v>
      </c>
      <c r="M43" s="570" t="str">
        <f>CHOOSE(K43+1,"Not to be included in this RFA","A REQUIRED input field for this RFA","An OPTIONAL input field for this RFA")</f>
        <v>Not to be included in this RFA</v>
      </c>
    </row>
    <row r="44" spans="1:13" ht="29.4" customHeight="1">
      <c r="A44" s="4"/>
      <c r="B44" s="4"/>
      <c r="C44" s="4"/>
      <c r="D44" s="4"/>
      <c r="E44" s="186" t="s">
        <v>327</v>
      </c>
      <c r="F44" s="49"/>
      <c r="G44" s="50"/>
      <c r="H44" s="1031"/>
      <c r="I44" s="1527" t="str">
        <f>IF(OR(Medical_Name="",Medical_Address="",Medical_Distance=""),"",IF(AND(County_Size="Small",Medical_Distance&lt;=0.3),4,IF(AND(County_Size="Small",Medical_Distance&lt;=0.75),3.5,IF(AND(County_Size="Small",Medical_Distance&lt;=1),3,IF(AND(County_Size="Small",Medical_Distance&lt;=1.25),2.5,IF(AND(County_Size="Small",Medical_Distance&lt;=1.5),2,IF(AND(County_Size="Small",Medical_Distance&lt;=1.75),1.5,IF(AND(County_Size="Small",Medical_Distance&lt;=2),1,IF(AND(County_Size="Small",Medical_Distance&lt;=2.25),0.5,IF(AND(OR(County_Size="Medium",County_Size="Large"),Medical_Distance&lt;=0.3),4,IF(AND(OR(County_Size="Medium",County_Size="Large"),Medical_Distance&lt;=0.5),3.5,IF(AND(OR(County_Size="Medium",County_Size="Large"),Medical_Distance&lt;=0.75),3,IF(AND(OR(County_Size="Medium",County_Size="Large"),Medical_Distance&lt;=1),2.5,IF(AND(OR(County_Size="Medium",County_Size="Large"),Medical_Distance&lt;=1.25),2,IF(AND(OR(County_Size="Medium",County_Size="Large"),Medical_Distance&lt;=1.5),1.5,IF(AND(OR(County_Size="Medium",County_Size="Large"),Medical_Distance&lt;=1.75),1,IF(AND(OR(County_Size="Medium",County_Size="Large"),Medical_Distance&lt;=2,0.5),0)))))))))))))))))</f>
        <v/>
      </c>
      <c r="K44" s="383">
        <f>IF($M$42=0,0,IF($M$42=2,2,IF(IF(IF($F$43="",0,1)+IF($G$43="",0,1)+IF($H$43="",0,1)=3,1,0)+IF(IF($F$44="",0,1)+IF($G$44="",0,1)+IF($H$44="",0,1)=3,1,0)+IF(IF($F$45="",0,1)+IF($G$45="",0,1)+IF($H$45="",0,1)=3,1,0)+IF(IF($F$46="",0,1)+IF($G$46="",0,1)+IF($H$46="",0,1)=3,1,0)&lt;3,1,IF(IF($F44="",0,1)+IF($G44="",0,1)+IF($H44="",0,1)=3,1,2))))</f>
        <v>0</v>
      </c>
      <c r="L44" s="390">
        <f>IF(AND(K44&lt;&gt;0,AND(F44&lt;&gt;"",G44&lt;&gt;"",H44&lt;&gt;"")),K44,0)</f>
        <v>0</v>
      </c>
      <c r="M44" s="570" t="str">
        <f>CHOOSE(K44+1,"Not to be included in this RFA","A REQUIRED input field for this RFA","An OPTIONAL input field for this RFA")</f>
        <v>Not to be included in this RFA</v>
      </c>
    </row>
    <row r="45" spans="1:13" ht="29.4" customHeight="1">
      <c r="A45" s="4"/>
      <c r="B45" s="4"/>
      <c r="C45" s="4"/>
      <c r="D45" s="4"/>
      <c r="E45" s="186" t="s">
        <v>328</v>
      </c>
      <c r="F45" s="49"/>
      <c r="G45" s="50"/>
      <c r="H45" s="1031"/>
      <c r="I45" s="1527" t="str">
        <f>IF(OR(Pharmacy_Name="",Pharmacy_Address="",Pharmacy_Distance=""),"",IF(AND(County_Size="Small",Pharmacy_Distance&lt;=0.3),4,IF(AND(County_Size="Small",Pharmacy_Distance&lt;=0.75),3.5,IF(AND(County_Size="Small",Pharmacy_Distance&lt;=1),3,IF(AND(County_Size="Small",Pharmacy_Distance&lt;=1.25),2.5,IF(AND(County_Size="Small",Pharmacy_Distance&lt;=1.5),2,IF(AND(County_Size="Small",Pharmacy_Distance&lt;=1.75),1.5,IF(AND(County_Size="Small",Pharmacy_Distance&lt;=2),1,IF(AND(County_Size="Small",Pharmacy_Distance&lt;=2.25),0.5,IF(AND(OR(County_Size="Medium",County_Size="Large"),Pharmacy_Distance&lt;=0.3),4,IF(AND(OR(County_Size="Medium",County_Size="Large"),Pharmacy_Distance&lt;=0.5),3.5,IF(AND(OR(County_Size="Medium",County_Size="Large"),Pharmacy_Distance&lt;=0.75),3,IF(AND(OR(County_Size="Medium",County_Size="Large"),Pharmacy_Distance&lt;=1),2.5,IF(AND(OR(County_Size="Medium",County_Size="Large"),Pharmacy_Distance&lt;=1.25),2,IF(AND(OR(County_Size="Medium",County_Size="Large"),Pharmacy_Distance&lt;=1.5),1.5,IF(AND(OR(County_Size="Medium",County_Size="Large"),Pharmacy_Distance&lt;=1.75),1,IF(AND(OR(County_Size="Medium",County_Size="Large"),Pharmacy_Distance&lt;=2,0.5),0)))))))))))))))))</f>
        <v/>
      </c>
      <c r="K45" s="383">
        <f>IF($M$42=0,0,IF($M$42=2,2,IF(IF(IF($F$43="",0,1)+IF($G$43="",0,1)+IF($H$43="",0,1)=3,1,0)+IF(IF($F$44="",0,1)+IF($G$44="",0,1)+IF($H$44="",0,1)=3,1,0)+IF(IF($F$45="",0,1)+IF($G$45="",0,1)+IF($H$45="",0,1)=3,1,0)+IF(IF($F$46="",0,1)+IF($G$46="",0,1)+IF($H$46="",0,1)=3,1,0)&lt;3,1,IF(IF($F45="",0,1)+IF($G45="",0,1)+IF($H45="",0,1)=3,1,2))))</f>
        <v>0</v>
      </c>
      <c r="L45" s="390">
        <f>IF(AND(K45&lt;&gt;0,AND(F45&lt;&gt;"",G45&lt;&gt;"",H45&lt;&gt;"")),K45,0)</f>
        <v>0</v>
      </c>
      <c r="M45" s="570" t="str">
        <f>CHOOSE(K45+1,"Not to be included in this RFA","A REQUIRED input field for this RFA","An OPTIONAL input field for this RFA")</f>
        <v>Not to be included in this RFA</v>
      </c>
    </row>
    <row r="46" spans="1:13" ht="28.5" customHeight="1">
      <c r="A46" s="4"/>
      <c r="B46" s="4"/>
      <c r="C46" s="4"/>
      <c r="D46" s="4"/>
      <c r="E46" s="186" t="s">
        <v>329</v>
      </c>
      <c r="F46" s="49"/>
      <c r="G46" s="50"/>
      <c r="H46" s="1031"/>
      <c r="I46" s="1527" t="str">
        <f>IF(OR(School_Name="",School_Address="",School_Distance=""),"",IF(AND(County_Size="Small",School_Distance&lt;=0.75),4,IF(AND(County_Size="Small",School_Distance&lt;=1),3.5,IF(AND(County_Size="Small",School_Distance&lt;=1.25),3,IF(AND(County_Size="Small",School_Distance&lt;=1.5),2.5,IF(AND(County_Size="Small",School_Distance&lt;=1.75),2,IF(AND(County_Size="Small",School_Distance&lt;=2),1.5,IF(AND(County_Size="Small",School_Distance&lt;=2.25),1,IF(AND(OR(County_Size="Medium",County_Size="Large"),School_Distance&lt;=0.5),4,IF(AND(OR(County_Size="Medium",County_Size="Large"),School_Distance&lt;=0.75),3.5,IF(AND(OR(County_Size="Medium",County_Size="Large"),School_Distance&lt;=1),3,IF(AND(OR(County_Size="Medium",County_Size="Large"),School_Distance&lt;=1.25),2.5,IF(AND(OR(County_Size="Medium",County_Size="Large"),School_Distance&lt;=1.2),2,IF(AND(OR(County_Size="Medium",County_Size="Large"),School_Distance&lt;=1.75),1.5,IF(AND(OR(County_Size="Medium",County_Size="Large"),School_Distance&lt;=2),1,0)))))))))))))))</f>
        <v/>
      </c>
      <c r="K46" s="383">
        <f>IF($M$42=0,0,IF($M$42=2,2,IF(IF(IF($F$43="",0,1)+IF($G$43="",0,1)+IF($H$43="",0,1)=3,1,0)+IF(IF($F$44="",0,1)+IF($G$44="",0,1)+IF($H$44="",0,1)=3,1,0)+IF(IF($F$45="",0,1)+IF($G$45="",0,1)+IF($H$45="",0,1)=3,1,0)+IF(IF($F$46="",0,1)+IF($G$46="",0,1)+IF($H$46="",0,1)=3,1,0)&lt;3,1,IF(IF($F46="",0,1)+IF($G46="",0,1)+IF($H46="",0,1)=3,1,2))))</f>
        <v>0</v>
      </c>
      <c r="L46" s="390">
        <f>IF(AND(K46&lt;&gt;0,AND(F46&lt;&gt;"",G46&lt;&gt;"",H46&lt;&gt;"")),K46,0)</f>
        <v>0</v>
      </c>
      <c r="M46" s="570" t="str">
        <f>CHOOSE(K46+1,"Not to be included in this RFA","A REQUIRED input field for this RFA","An OPTIONAL input field for this RFA")</f>
        <v>Not to be included in this RFA</v>
      </c>
    </row>
    <row r="47" spans="1:13" ht="29.25" customHeight="1">
      <c r="A47" s="4"/>
      <c r="B47" s="4"/>
      <c r="C47" s="4"/>
      <c r="D47" s="4"/>
      <c r="E47" s="1267" t="str">
        <f>IF(AND(Grocery_points&lt;&gt;"",Medical_points&lt;&gt;"",Pharmacy_points&lt;&gt;"",School_points&lt;&gt;""),"Only three Community Services may be selected.","")</f>
        <v/>
      </c>
      <c r="F47" s="4"/>
      <c r="G47" s="4"/>
      <c r="H47" s="4"/>
    </row>
    <row r="48" spans="1:13" ht="63.75" customHeight="1">
      <c r="A48" s="4"/>
      <c r="B48" s="1829" t="s">
        <v>330</v>
      </c>
      <c r="C48" s="1829"/>
      <c r="D48" s="1829"/>
      <c r="E48" s="1829"/>
      <c r="F48" s="1829"/>
      <c r="G48" s="1829"/>
      <c r="H48" s="1829"/>
      <c r="I48" s="1829"/>
    </row>
    <row r="49" spans="1:13" ht="10.35" customHeight="1">
      <c r="A49" s="4"/>
      <c r="B49" s="4"/>
      <c r="C49" s="4"/>
      <c r="D49" s="4"/>
      <c r="E49" s="4"/>
      <c r="F49" s="4"/>
      <c r="G49" s="4"/>
      <c r="H49" s="4"/>
    </row>
    <row r="50" spans="1:13" ht="14.4" customHeight="1">
      <c r="A50" s="1181" t="str" cm="1">
        <f t="array" ref="A50">IF($K52+$K55+$K58=0,"",IFERROR(CHAR(CODE(LOOKUP(2,1/(COUNTIF(A$3:A49,"&gt;"&amp;A$3:A49&amp;"*")=0),A$3:A49))+1),CHAR(CODE(LOOKUP(2,1/(COUNTIF('Development Location'!A$3:A32,"&gt;"&amp;'Development Location'!A$3:A32&amp;"*")=0),'Development Location'!A$3:A32))+1)))</f>
        <v/>
      </c>
      <c r="B50" s="174" t="s">
        <v>331</v>
      </c>
      <c r="C50" s="46"/>
      <c r="D50" s="4"/>
      <c r="E50" s="4"/>
      <c r="F50" s="4"/>
      <c r="G50" s="4"/>
      <c r="H50" s="4"/>
    </row>
    <row r="51" spans="1:13">
      <c r="A51" s="4"/>
      <c r="B51" s="1918" t="s">
        <v>332</v>
      </c>
      <c r="C51" s="1918"/>
      <c r="D51" s="1918"/>
      <c r="E51" s="1918"/>
      <c r="F51" s="1918"/>
      <c r="G51" s="1918"/>
      <c r="H51" s="1918"/>
      <c r="I51" s="1918"/>
    </row>
    <row r="52" spans="1:13" ht="17.399999999999999" customHeight="1">
      <c r="A52" s="4"/>
      <c r="B52" s="1908" t="s">
        <v>2</v>
      </c>
      <c r="C52" s="1908"/>
      <c r="D52" s="1908"/>
      <c r="E52" s="1908"/>
      <c r="F52" s="4"/>
      <c r="G52" s="4"/>
      <c r="H52" s="4"/>
      <c r="K52" s="588">
        <v>0</v>
      </c>
      <c r="L52" s="390">
        <f>IF(AND(K52&lt;&gt;0,AND(B52&lt;&gt;"&lt;select one&gt;",B52&lt;&gt;"")),K52,0)</f>
        <v>0</v>
      </c>
      <c r="M52" s="570" t="str">
        <f>CHOOSE(K52+1,"Not to be included in this RFA","A REQUIRED input field for this RFA","An OPTIONAL input field for this RFA")</f>
        <v>Not to be included in this RFA</v>
      </c>
    </row>
    <row r="53" spans="1:13" ht="9" customHeight="1">
      <c r="A53" s="4"/>
      <c r="B53" s="4"/>
      <c r="C53" s="4"/>
      <c r="D53" s="4"/>
      <c r="E53" s="4"/>
      <c r="F53" s="4"/>
      <c r="G53" s="4"/>
      <c r="H53" s="4"/>
    </row>
    <row r="54" spans="1:13" ht="49.35" customHeight="1">
      <c r="A54" s="4"/>
      <c r="B54" s="1829" t="s">
        <v>333</v>
      </c>
      <c r="C54" s="1829"/>
      <c r="D54" s="1829"/>
      <c r="E54" s="1829"/>
      <c r="F54" s="1829"/>
      <c r="G54" s="1829"/>
      <c r="H54" s="1829"/>
      <c r="I54" s="1829"/>
    </row>
    <row r="55" spans="1:13" ht="17.399999999999999" customHeight="1">
      <c r="A55" s="4"/>
      <c r="B55" s="1908" t="s">
        <v>2</v>
      </c>
      <c r="C55" s="1908"/>
      <c r="D55" s="1908"/>
      <c r="E55" s="1908"/>
      <c r="F55" s="4"/>
      <c r="G55" s="4"/>
      <c r="H55" s="4"/>
      <c r="K55" s="588">
        <v>0</v>
      </c>
      <c r="L55" s="390">
        <f>IF(AND(K55&lt;&gt;0,AND(B55&lt;&gt;"&lt;select one&gt;",B55&lt;&gt;"")),K55,0)</f>
        <v>0</v>
      </c>
      <c r="M55" s="570" t="str">
        <f>CHOOSE(K55+1,"Not to be included in this RFA","A REQUIRED input field for this RFA","An OPTIONAL input field for this RFA")</f>
        <v>Not to be included in this RFA</v>
      </c>
    </row>
    <row r="56" spans="1:13" ht="10.35" customHeight="1">
      <c r="A56" s="4"/>
      <c r="B56" s="4"/>
      <c r="C56" s="4"/>
      <c r="D56" s="4"/>
      <c r="E56" s="4"/>
      <c r="F56" s="4"/>
      <c r="G56" s="4"/>
      <c r="H56" s="4"/>
    </row>
    <row r="57" spans="1:13" ht="45" customHeight="1">
      <c r="A57" s="4"/>
      <c r="B57" s="1829" t="s">
        <v>1923</v>
      </c>
      <c r="C57" s="1829"/>
      <c r="D57" s="1829"/>
      <c r="E57" s="1829"/>
      <c r="F57" s="1829"/>
      <c r="G57" s="1829"/>
      <c r="H57" s="1829"/>
      <c r="I57" s="1829"/>
    </row>
    <row r="58" spans="1:13" ht="17.399999999999999" customHeight="1">
      <c r="A58" s="4"/>
      <c r="B58" s="1913" t="s">
        <v>2</v>
      </c>
      <c r="C58" s="1913"/>
      <c r="D58" s="1913"/>
      <c r="E58" s="1913"/>
      <c r="F58" s="1913"/>
      <c r="G58" s="1327"/>
      <c r="H58" s="1911"/>
      <c r="I58" s="1911"/>
      <c r="K58" s="383">
        <f>IF(B55="Yes",1,K55)</f>
        <v>0</v>
      </c>
      <c r="L58" s="390">
        <f>IF(AND(K58&lt;&gt;0,B58&lt;&gt;"&lt;select one&gt;"),K58,0)</f>
        <v>0</v>
      </c>
      <c r="M58" s="570" t="str">
        <f>CHOOSE(K58+1,"Not to be included in this RFA","A REQUIRED input field for this RFA","An OPTIONAL input field for this RFA")</f>
        <v>Not to be included in this RFA</v>
      </c>
    </row>
    <row r="59" spans="1:13" ht="17.399999999999999" customHeight="1">
      <c r="A59" s="4"/>
      <c r="B59" s="1910" t="s">
        <v>2</v>
      </c>
      <c r="C59" s="1910"/>
      <c r="D59" s="1910"/>
      <c r="E59" s="1910"/>
      <c r="F59" s="1910"/>
      <c r="G59" s="1328"/>
      <c r="H59" s="1911"/>
      <c r="I59" s="1911"/>
    </row>
    <row r="60" spans="1:13" ht="17.399999999999999" customHeight="1">
      <c r="A60" s="4"/>
      <c r="B60" s="1910" t="s">
        <v>2</v>
      </c>
      <c r="C60" s="1910"/>
      <c r="D60" s="1910"/>
      <c r="E60" s="1910"/>
      <c r="F60" s="1910"/>
      <c r="G60" s="1328"/>
      <c r="H60" s="1911"/>
      <c r="I60" s="1911"/>
    </row>
    <row r="61" spans="1:13" ht="17.399999999999999" customHeight="1">
      <c r="A61" s="4"/>
      <c r="B61" s="1910" t="s">
        <v>2</v>
      </c>
      <c r="C61" s="1910"/>
      <c r="D61" s="1910"/>
      <c r="E61" s="1910"/>
      <c r="F61" s="1910"/>
      <c r="G61" s="1328"/>
      <c r="H61" s="1329"/>
      <c r="I61" s="1329"/>
      <c r="K61" s="1265"/>
      <c r="L61" s="390"/>
      <c r="M61" s="1264"/>
    </row>
    <row r="62" spans="1:13" ht="17.399999999999999" customHeight="1">
      <c r="A62" s="4"/>
      <c r="B62" s="1910" t="s">
        <v>2</v>
      </c>
      <c r="C62" s="1910"/>
      <c r="D62" s="1910"/>
      <c r="E62" s="1910"/>
      <c r="F62" s="1910"/>
      <c r="G62" s="1328"/>
      <c r="H62" s="1329"/>
      <c r="I62" s="1329"/>
      <c r="K62" s="1265"/>
      <c r="L62" s="390"/>
      <c r="M62" s="1264"/>
    </row>
    <row r="63" spans="1:13" ht="10.35" customHeight="1">
      <c r="A63" s="4"/>
      <c r="B63" s="4"/>
      <c r="C63" s="4"/>
      <c r="D63" s="4"/>
      <c r="E63" s="4"/>
      <c r="F63" s="4"/>
      <c r="G63" s="4"/>
      <c r="H63" s="4"/>
    </row>
    <row r="64" spans="1:13">
      <c r="A64" s="632" t="str" cm="1">
        <f t="array" ref="A64">IF($K66=0,"",CHAR(CODE(LOOKUP(2,1/(COUNTIF(A$3:A63,"&gt;"&amp;A$3:A63&amp;"*")=0),A$3:A63))+1))</f>
        <v/>
      </c>
      <c r="B64" s="46" t="s">
        <v>334</v>
      </c>
      <c r="C64" s="46"/>
      <c r="D64" s="4"/>
      <c r="E64" s="4"/>
      <c r="F64" s="4"/>
      <c r="G64" s="4"/>
      <c r="H64" s="4"/>
    </row>
    <row r="65" spans="1:17" ht="14.4" customHeight="1">
      <c r="A65" s="4"/>
      <c r="B65" s="1829" t="s">
        <v>335</v>
      </c>
      <c r="C65" s="1829"/>
      <c r="D65" s="1829"/>
      <c r="E65" s="1829"/>
      <c r="F65" s="1829"/>
      <c r="G65" s="1829"/>
      <c r="H65" s="1829"/>
      <c r="I65" s="1829"/>
    </row>
    <row r="66" spans="1:17" ht="17.399999999999999" customHeight="1">
      <c r="A66" s="4"/>
      <c r="B66" s="1908" t="s">
        <v>2</v>
      </c>
      <c r="C66" s="1908"/>
      <c r="D66" s="1908"/>
      <c r="E66" s="1908"/>
      <c r="F66" s="4"/>
      <c r="G66" s="4"/>
      <c r="H66" s="4"/>
      <c r="K66" s="588">
        <v>0</v>
      </c>
      <c r="L66" s="390">
        <f>IF(AND(K66&lt;&gt;0,AND(B66&lt;&gt;"&lt;select one&gt;",B66&lt;&gt;"")),K66,0)</f>
        <v>0</v>
      </c>
      <c r="M66" s="570" t="str">
        <f>CHOOSE(K66+1,"Not to be included in this RFA","A REQUIRED input field for this RFA","An OPTIONAL input field for this RFA")</f>
        <v>Not to be included in this RFA</v>
      </c>
    </row>
    <row r="67" spans="1:17" ht="10.35" customHeight="1">
      <c r="A67" s="4"/>
      <c r="B67" s="4"/>
      <c r="C67" s="4"/>
      <c r="D67" s="4"/>
      <c r="E67" s="4"/>
      <c r="F67" s="4"/>
      <c r="G67" s="4"/>
      <c r="H67" s="4"/>
    </row>
    <row r="69" spans="1:17">
      <c r="B69" s="14" t="s">
        <v>1560</v>
      </c>
      <c r="C69" s="14"/>
      <c r="D69" s="14"/>
      <c r="E69" s="14"/>
      <c r="F69" s="14"/>
      <c r="G69" s="14"/>
      <c r="H69" s="1330">
        <f>IF(E31="Only one type of transit may be selected.","too many Transit Services",SUM(I24:I29))</f>
        <v>0</v>
      </c>
    </row>
    <row r="70" spans="1:17" ht="28.95" customHeight="1">
      <c r="B70" s="1740" t="s">
        <v>1561</v>
      </c>
      <c r="C70" s="1740"/>
      <c r="D70" s="1740"/>
      <c r="E70" s="1740"/>
      <c r="F70" s="1740"/>
      <c r="G70" s="1740"/>
      <c r="H70" s="1331">
        <f>IF(E47="Only three Community Services may be selected.","too many Comm. Services",SUM(I43:I46))</f>
        <v>0</v>
      </c>
    </row>
    <row r="71" spans="1:17">
      <c r="B71" s="14" t="s">
        <v>1532</v>
      </c>
      <c r="C71" s="14"/>
      <c r="D71" s="14"/>
      <c r="E71" s="14"/>
      <c r="F71" s="14"/>
      <c r="G71" s="14"/>
      <c r="H71" s="1332">
        <f>IF(OR(PHA_Prox_boost="Yes",RD_Prox_boost="Yes"),3,0)</f>
        <v>0</v>
      </c>
    </row>
    <row r="72" spans="1:17">
      <c r="H72" s="64"/>
    </row>
    <row r="73" spans="1:17">
      <c r="B73" s="430" t="s">
        <v>1559</v>
      </c>
      <c r="H73" s="1332">
        <f>SUM(H69:H71)</f>
        <v>0</v>
      </c>
    </row>
    <row r="74" spans="1:17">
      <c r="H74" s="64"/>
    </row>
    <row r="75" spans="1:17" ht="29.4" customHeight="1">
      <c r="B75" s="1917" t="s">
        <v>1562</v>
      </c>
      <c r="C75" s="1917"/>
      <c r="D75" s="1917"/>
      <c r="E75" s="1917"/>
      <c r="F75" s="1917"/>
      <c r="G75" s="1917"/>
      <c r="H75" s="1374" t="str">
        <f>IF('Local Gov''t Contributions'!A33="Based on the above information, it appears the Applicant does qualify for the Local Government Area of Opportunity Designation.","Yes","No")</f>
        <v>No</v>
      </c>
      <c r="I75" s="230"/>
      <c r="J75"/>
      <c r="K75"/>
      <c r="L75"/>
      <c r="M75"/>
      <c r="N75"/>
      <c r="O75"/>
      <c r="P75"/>
      <c r="Q75"/>
    </row>
    <row r="76" spans="1:17" ht="14.4" hidden="1" customHeight="1">
      <c r="B76" s="1280"/>
      <c r="C76" s="1280"/>
      <c r="D76" s="1280"/>
      <c r="E76" s="1280"/>
      <c r="F76" s="1280"/>
      <c r="G76" s="1280"/>
      <c r="H76" s="1333"/>
      <c r="I76"/>
      <c r="J76"/>
      <c r="K76"/>
      <c r="L76"/>
      <c r="M76"/>
      <c r="N76"/>
      <c r="O76"/>
      <c r="P76"/>
      <c r="Q76"/>
    </row>
    <row r="77" spans="1:17" ht="14.4" hidden="1" customHeight="1">
      <c r="B77" s="1280"/>
      <c r="C77" s="1280"/>
      <c r="D77" s="1280"/>
      <c r="E77" s="1280"/>
      <c r="F77" s="1280"/>
      <c r="G77" s="1280"/>
      <c r="H77" s="1333"/>
      <c r="I77"/>
      <c r="J77"/>
      <c r="K77"/>
      <c r="L77"/>
      <c r="M77"/>
      <c r="N77"/>
      <c r="O77"/>
      <c r="P77"/>
      <c r="Q77"/>
    </row>
    <row r="78" spans="1:17" ht="14.4" hidden="1" customHeight="1">
      <c r="B78" s="1280"/>
      <c r="C78" s="1280"/>
      <c r="D78" s="1280"/>
      <c r="E78" s="1280"/>
      <c r="F78" s="1280"/>
      <c r="G78" s="1280"/>
      <c r="H78" s="1333"/>
      <c r="I78"/>
      <c r="J78"/>
      <c r="K78"/>
      <c r="L78"/>
      <c r="M78"/>
      <c r="N78"/>
      <c r="O78"/>
      <c r="P78"/>
      <c r="Q78"/>
    </row>
    <row r="79" spans="1:17" ht="14.4" hidden="1" customHeight="1">
      <c r="B79" s="1280"/>
      <c r="C79" s="1280"/>
      <c r="D79" s="1280"/>
      <c r="E79" s="1280"/>
      <c r="F79" s="1280"/>
      <c r="G79" s="1280"/>
      <c r="H79" s="1334"/>
      <c r="I79"/>
      <c r="J79"/>
      <c r="K79"/>
      <c r="L79"/>
      <c r="M79"/>
      <c r="N79"/>
      <c r="O79"/>
      <c r="P79"/>
      <c r="Q79"/>
    </row>
    <row r="80" spans="1:17" s="45" customFormat="1">
      <c r="B80" s="1080"/>
      <c r="C80" s="1080"/>
      <c r="D80" s="1080"/>
      <c r="E80" s="1080"/>
      <c r="F80" s="1080"/>
      <c r="G80" s="1080"/>
      <c r="H80" s="1335"/>
      <c r="I80" s="208"/>
      <c r="J80" s="208"/>
      <c r="K80" s="208"/>
      <c r="L80" s="208"/>
      <c r="M80" s="208"/>
      <c r="N80" s="208"/>
      <c r="O80" s="208"/>
      <c r="P80" s="208"/>
      <c r="Q80" s="208"/>
    </row>
    <row r="81" spans="2:8" ht="33" customHeight="1">
      <c r="B81" s="1744" t="s">
        <v>1554</v>
      </c>
      <c r="C81" s="1744"/>
      <c r="D81" s="1744"/>
      <c r="E81" s="1744"/>
      <c r="F81" s="1744"/>
      <c r="G81" s="1744"/>
      <c r="H81" s="1332" t="str">
        <f>IF(OR(County_Size="Medium",County_Size="Small",H75="Yes",H76="Yes",H77="Yes",H78="Yes",H79="Yes"),"Yes - automatically",IF(AND(OR(PHA_Prox_boost="Yes",RD_Prox_boost="Yes"),transit_points_achieved&gt;=1.5),"Yes",IF(transit_points_achieved&gt;=2,"Yes","No")))</f>
        <v>No</v>
      </c>
    </row>
    <row r="82" spans="2:8" ht="33" customHeight="1">
      <c r="B82" s="1744" t="s">
        <v>1555</v>
      </c>
      <c r="C82" s="1744"/>
      <c r="D82" s="1744"/>
      <c r="E82" s="1744"/>
      <c r="F82" s="1744"/>
      <c r="G82" s="1744"/>
      <c r="H82" s="1332" t="str">
        <f>IF(OR(H75="Yes",H76="Yes",H77="Yes",H78="Yes",H79="Yes"),"Yes - automatically",IF(AND(County_Size="Small",total_proximity_points_achieved&gt;=4),"Yes",IF(AND(County_Size="Medium",total_proximity_points_achieved&gt;=7),"Yes",IF(AND(County_Size="Large",total_proximity_points_achieved&gt;=10.5),"Yes","No"))))</f>
        <v>No</v>
      </c>
    </row>
    <row r="83" spans="2:8" ht="33" customHeight="1">
      <c r="B83" s="1744" t="s">
        <v>1556</v>
      </c>
      <c r="C83" s="1744"/>
      <c r="D83" s="1744"/>
      <c r="E83" s="1744"/>
      <c r="F83" s="1744"/>
      <c r="G83" s="1744"/>
      <c r="H83" s="1332" t="str">
        <f>IF(AND(County_Size="Small",total_proximity_points_achieved&gt;=6),"Yes",IF(AND(County_Size="Medium",total_proximity_points_achieved&gt;=9),"Yes",IF(AND(County_Size="Large",total_proximity_points_achieved&gt;=12.5),"Yes","No")))</f>
        <v>No</v>
      </c>
    </row>
  </sheetData>
  <sheetProtection algorithmName="SHA-512" hashValue="NH1REmYmTceCe9unLnsRdu2cfVDiCHVR2SS/F2I+8tzgmB17WbCUAoWOmXPB8E7zyhdM36ie4eI+qermLcYIlg==" saltValue="u4H47BmQsWQdHVydhx8vag==" spinCount="100000" sheet="1" objects="1" scenarios="1" selectLockedCells="1"/>
  <mergeCells count="35">
    <mergeCell ref="B83:G83"/>
    <mergeCell ref="I24:I26"/>
    <mergeCell ref="B82:G82"/>
    <mergeCell ref="B61:F61"/>
    <mergeCell ref="B52:E52"/>
    <mergeCell ref="B55:E55"/>
    <mergeCell ref="B48:I48"/>
    <mergeCell ref="C40:I40"/>
    <mergeCell ref="B62:F62"/>
    <mergeCell ref="B60:F60"/>
    <mergeCell ref="H60:I60"/>
    <mergeCell ref="B81:G81"/>
    <mergeCell ref="B75:G75"/>
    <mergeCell ref="B51:I51"/>
    <mergeCell ref="B70:G70"/>
    <mergeCell ref="B54:I54"/>
    <mergeCell ref="K1:U2"/>
    <mergeCell ref="F19:I20"/>
    <mergeCell ref="D18:I18"/>
    <mergeCell ref="C16:I16"/>
    <mergeCell ref="B59:F59"/>
    <mergeCell ref="H59:I59"/>
    <mergeCell ref="D37:I37"/>
    <mergeCell ref="B58:F58"/>
    <mergeCell ref="H58:I58"/>
    <mergeCell ref="D6:H6"/>
    <mergeCell ref="D7:E7"/>
    <mergeCell ref="D11:E11"/>
    <mergeCell ref="A1:I1"/>
    <mergeCell ref="D10:H10"/>
    <mergeCell ref="D19:E19"/>
    <mergeCell ref="D34:E34"/>
    <mergeCell ref="B66:E66"/>
    <mergeCell ref="B57:I57"/>
    <mergeCell ref="B65:I65"/>
  </mergeCells>
  <conditionalFormatting sqref="F24:H29 I24 I27:I29 F43:H46">
    <cfRule type="cellIs" dxfId="437" priority="57" operator="notEqual">
      <formula>""</formula>
    </cfRule>
  </conditionalFormatting>
  <conditionalFormatting sqref="D7 D11 D19 B52 B55 B66">
    <cfRule type="cellIs" dxfId="436" priority="50" operator="notEqual">
      <formula>"&lt;select one&gt;"</formula>
    </cfRule>
  </conditionalFormatting>
  <conditionalFormatting sqref="B51:I53">
    <cfRule type="expression" dxfId="435" priority="61">
      <formula>$K$52=0</formula>
    </cfRule>
  </conditionalFormatting>
  <conditionalFormatting sqref="B54:I63">
    <cfRule type="expression" dxfId="434" priority="62">
      <formula>$K$55=0</formula>
    </cfRule>
  </conditionalFormatting>
  <conditionalFormatting sqref="B50:I50">
    <cfRule type="expression" dxfId="433" priority="60">
      <formula>$K$52+$K$55=0</formula>
    </cfRule>
  </conditionalFormatting>
  <conditionalFormatting sqref="A64:I66">
    <cfRule type="expression" dxfId="432" priority="82">
      <formula>$K$66=0</formula>
    </cfRule>
  </conditionalFormatting>
  <conditionalFormatting sqref="B39:I49">
    <cfRule type="expression" dxfId="431" priority="59">
      <formula>$M$42=0</formula>
    </cfRule>
  </conditionalFormatting>
  <conditionalFormatting sqref="B18:D18 B20:E20 B19:F19">
    <cfRule type="expression" dxfId="430" priority="54">
      <formula>$K$19=0</formula>
    </cfRule>
  </conditionalFormatting>
  <conditionalFormatting sqref="B14:I17">
    <cfRule type="expression" dxfId="429" priority="52">
      <formula>AND($K$19=0,$M$23=0)</formula>
    </cfRule>
  </conditionalFormatting>
  <conditionalFormatting sqref="B21:I30">
    <cfRule type="expression" dxfId="428" priority="55">
      <formula>$M$23=0</formula>
    </cfRule>
  </conditionalFormatting>
  <conditionalFormatting sqref="B25:H26 B24:I24 B27:I29">
    <cfRule type="expression" dxfId="427" priority="56">
      <formula>$K24=0</formula>
    </cfRule>
  </conditionalFormatting>
  <conditionalFormatting sqref="B6:I9">
    <cfRule type="expression" dxfId="426" priority="42">
      <formula>$K$7=0</formula>
    </cfRule>
  </conditionalFormatting>
  <conditionalFormatting sqref="B10:I13">
    <cfRule type="expression" dxfId="425" priority="1246">
      <formula>$K$11=0</formula>
    </cfRule>
  </conditionalFormatting>
  <conditionalFormatting sqref="B4:I5">
    <cfRule type="expression" dxfId="424" priority="41">
      <formula>$K$7+$K$11=0</formula>
    </cfRule>
  </conditionalFormatting>
  <conditionalFormatting sqref="I23:I26">
    <cfRule type="expression" dxfId="423" priority="36">
      <formula>$M$23=0</formula>
    </cfRule>
  </conditionalFormatting>
  <conditionalFormatting sqref="I43:I46">
    <cfRule type="cellIs" dxfId="422" priority="34" operator="notEqual">
      <formula>""</formula>
    </cfRule>
  </conditionalFormatting>
  <conditionalFormatting sqref="I42:I46">
    <cfRule type="expression" dxfId="421" priority="35">
      <formula>$M$42=0</formula>
    </cfRule>
  </conditionalFormatting>
  <conditionalFormatting sqref="E31:I31">
    <cfRule type="expression" dxfId="420" priority="32">
      <formula>$E31&lt;&gt;""</formula>
    </cfRule>
  </conditionalFormatting>
  <conditionalFormatting sqref="F24:I29">
    <cfRule type="expression" dxfId="419" priority="31">
      <formula>$D$19="Yes"</formula>
    </cfRule>
  </conditionalFormatting>
  <conditionalFormatting sqref="E47">
    <cfRule type="cellIs" dxfId="418" priority="30" operator="equal">
      <formula>"Only three Community Services may be selected."</formula>
    </cfRule>
  </conditionalFormatting>
  <conditionalFormatting sqref="H81:H83">
    <cfRule type="cellIs" dxfId="417" priority="28" operator="equal">
      <formula>"No"</formula>
    </cfRule>
  </conditionalFormatting>
  <conditionalFormatting sqref="F19:I20">
    <cfRule type="expression" dxfId="416" priority="25">
      <formula>AND(FIND("does not qualify",$F19),Private_transportation="Yes")</formula>
    </cfRule>
  </conditionalFormatting>
  <conditionalFormatting sqref="D34">
    <cfRule type="cellIs" dxfId="415" priority="21" operator="notEqual">
      <formula>"&lt;select one&gt;"</formula>
    </cfRule>
  </conditionalFormatting>
  <conditionalFormatting sqref="D37:I37">
    <cfRule type="expression" dxfId="414" priority="19">
      <formula>$D38&lt;&gt;""</formula>
    </cfRule>
  </conditionalFormatting>
  <conditionalFormatting sqref="B32:I38">
    <cfRule type="expression" dxfId="413" priority="16">
      <formula>$M$32=0</formula>
    </cfRule>
  </conditionalFormatting>
  <conditionalFormatting sqref="J24:J29">
    <cfRule type="expression" dxfId="412" priority="15">
      <formula>$J24&lt;&gt;""</formula>
    </cfRule>
  </conditionalFormatting>
  <conditionalFormatting sqref="B57:I62">
    <cfRule type="expression" dxfId="411" priority="964">
      <formula>$K$58=0</formula>
    </cfRule>
  </conditionalFormatting>
  <conditionalFormatting sqref="B58:F62">
    <cfRule type="cellIs" dxfId="410" priority="3" operator="notEqual">
      <formula>"&lt;select one&gt;"</formula>
    </cfRule>
  </conditionalFormatting>
  <conditionalFormatting sqref="D38:I38">
    <cfRule type="expression" dxfId="409" priority="1245">
      <formula>#REF!&lt;&gt;""</formula>
    </cfRule>
  </conditionalFormatting>
  <conditionalFormatting sqref="B3:I3">
    <cfRule type="expression" dxfId="408" priority="40">
      <formula>AND($K$7=0,$K$11=0,$K$19=0,$M$23=0,$M$42=0)</formula>
    </cfRule>
  </conditionalFormatting>
  <dataValidations count="1">
    <dataValidation type="list" allowBlank="1" showInputMessage="1" showErrorMessage="1" sqref="D7 D11 D19 B55 B52 B66 D34" xr:uid="{A984B7F7-4DD1-4D0B-B766-FFD14DF41ED2}">
      <formula1>"&lt;select one&gt;, Yes, No"</formula1>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ignoredErrors>
    <ignoredError sqref="B4 B14 B39" numberStoredAsText="1"/>
  </ignoredErrors>
  <extLst>
    <ext xmlns:x14="http://schemas.microsoft.com/office/spreadsheetml/2009/9/main" uri="{78C0D931-6437-407d-A8EE-F0AAD7539E65}">
      <x14:conditionalFormattings>
        <x14:conditionalFormatting xmlns:xm="http://schemas.microsoft.com/office/excel/2006/main">
          <x14:cfRule type="expression" priority="33" id="{70782014-8537-42E9-BB5F-69428B173DD5}">
            <xm:f>'General Information'!$F$10="Family"</xm:f>
            <x14:dxf>
              <font>
                <color auto="1"/>
              </font>
              <fill>
                <patternFill patternType="solid">
                  <bgColor theme="1"/>
                </patternFill>
              </fill>
            </x14:dxf>
          </x14:cfRule>
          <xm:sqref>D19:E19</xm:sqref>
        </x14:conditionalFormatting>
        <x14:conditionalFormatting xmlns:xm="http://schemas.microsoft.com/office/excel/2006/main">
          <x14:cfRule type="expression" priority="20" id="{D5F0E994-7475-4D98-9F1B-60478DC67A6F}">
            <xm:f>'General Information'!$F$10="Family"</xm:f>
            <x14:dxf>
              <font>
                <color auto="1"/>
              </font>
              <fill>
                <patternFill patternType="solid">
                  <bgColor theme="1"/>
                </patternFill>
              </fill>
            </x14:dxf>
          </x14:cfRule>
          <xm:sqref>D34:E34</xm:sqref>
        </x14:conditionalFormatting>
        <x14:conditionalFormatting xmlns:xm="http://schemas.microsoft.com/office/excel/2006/main">
          <x14:cfRule type="expression" priority="1097" id="{B6D96654-0174-4CF4-860E-95150DC59E6C}">
            <xm:f>Data1!$E$503="Yes"</xm:f>
            <x14:dxf>
              <font>
                <color theme="0"/>
              </font>
              <fill>
                <patternFill>
                  <bgColor theme="0"/>
                </patternFill>
              </fill>
              <border>
                <left/>
                <right/>
                <top/>
                <bottom/>
              </border>
            </x14:dxf>
          </x14:cfRule>
          <xm:sqref>K7:M7 K11:M11 K19:L19 K42:M46 K52:M52 K55:M55 K66:M66 K23:M30 K34:L38 K31:L31 K32 M32 K61:M62 K58:M58 K34:M34 K37:M37</xm:sqref>
        </x14:conditionalFormatting>
        <x14:conditionalFormatting xmlns:xm="http://schemas.microsoft.com/office/excel/2006/main">
          <x14:cfRule type="expression" priority="1" id="{934D3AB7-BC25-4862-8855-2E3DB27CF7AA}">
            <xm:f>Data1!$E$503="Yes"</xm:f>
            <x14:dxf>
              <font>
                <color theme="0"/>
              </font>
              <fill>
                <patternFill>
                  <bgColor theme="0"/>
                </patternFill>
              </fill>
              <border>
                <left/>
                <right/>
                <top/>
                <bottom/>
              </border>
            </x14:dxf>
          </x14:cfRule>
          <xm:sqref>M19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2ACEFF71-0D30-4E53-8C75-FCD6BDFC6675}">
          <x14:formula1>
            <xm:f>Data2!$Z$22:$Z$88</xm:f>
          </x14:formula1>
          <xm:sqref>B58:F62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129"/>
  <sheetViews>
    <sheetView showGridLines="0" topLeftCell="B1" zoomScaleNormal="100" zoomScaleSheetLayoutView="100" workbookViewId="0">
      <pane ySplit="2" topLeftCell="A3" activePane="bottomLeft" state="frozen"/>
      <selection pane="bottomLeft" activeCell="J3" sqref="J3"/>
    </sheetView>
  </sheetViews>
  <sheetFormatPr defaultColWidth="8.5546875" defaultRowHeight="14.4"/>
  <cols>
    <col min="1" max="1" width="3" style="42" customWidth="1"/>
    <col min="2" max="3" width="3.5546875" style="42" customWidth="1"/>
    <col min="4" max="4" width="4.44140625" style="42" customWidth="1"/>
    <col min="5" max="5" width="7.5546875" style="42" customWidth="1"/>
    <col min="6" max="6" width="14.5546875" style="42" customWidth="1"/>
    <col min="7" max="7" width="10.109375" style="42" customWidth="1"/>
    <col min="8" max="8" width="12.5546875" style="42" customWidth="1"/>
    <col min="9" max="9" width="14.5546875" style="42" customWidth="1"/>
    <col min="10" max="10" width="23.5546875" style="42" customWidth="1"/>
    <col min="11" max="11" width="14" style="42" customWidth="1"/>
    <col min="12" max="12" width="8.6640625" style="42" customWidth="1"/>
    <col min="13" max="14" width="25.5546875" style="42" customWidth="1"/>
    <col min="15" max="15" width="10.5546875" style="42" customWidth="1"/>
    <col min="16" max="17" width="3.5546875" style="42" customWidth="1"/>
    <col min="18" max="18" width="31.5546875" style="42" customWidth="1"/>
    <col min="19" max="16384" width="8.5546875" style="42"/>
  </cols>
  <sheetData>
    <row r="1" spans="1:32" ht="35.85" customHeight="1" thickBot="1">
      <c r="A1" s="1714" t="s">
        <v>336</v>
      </c>
      <c r="B1" s="1715"/>
      <c r="C1" s="1715"/>
      <c r="D1" s="1715"/>
      <c r="E1" s="1715"/>
      <c r="F1" s="1715"/>
      <c r="G1" s="1715"/>
      <c r="H1" s="1715"/>
      <c r="I1" s="1715"/>
      <c r="J1" s="1715"/>
      <c r="K1" s="1716"/>
      <c r="M1" s="2004" t="str">
        <f>"There are "&amp;TEXT(COUNTIF($P$3:$P$129,"=1"),"0")&amp;" required input fields and "&amp;TEXT(COUNTIF($P$3:$P$129,"=2"),"0")&amp;" optional input fields on this tab."&amp;CHAR(10)&amp;"There "&amp;IF(COUNTIFS($P$3:$P$129,"=1",$Q$3:$Q$129,"=1")=1,"is 1 required input field","are "&amp;TEXT(COUNTIFS($P$3:$P$129,"=1",$Q$3:$Q$129,"=1"),"0")&amp;" required input fields")&amp;" and "&amp;TEXT(COUNTIFS($P$3:$P$129,"=2",$Q$3:$Q$129,"=2"),"0")&amp;" optional input field"&amp;IF(COUNTIFS($P$3:$P$129,"=2",$Q$3:$Q$129,"=2")=1," with an entry","s with entries")&amp;" on this tab."&amp;CHAR(10)&amp;"There "&amp;IF(Data1!G504=1,"is ","are ")&amp;TEXT(Data1!G504,"0")&amp;" required input field"&amp;IF(Data1!G504=1,"s that need an entry","s that need entries")&amp;" and "&amp;TEXT(Data1!H504,"0")&amp;" optional input field"&amp;IF(Data1!H504=1," that may or may not need an entry","s that may or may not need entries")&amp;" on this tab."</f>
        <v>There are 3 required input fields and 0 optional input fields on this tab.
There are 0 required input fields and 0 optional input fields with entries on this tab.
There are 3 required input fields that need entries and 0 optional input fields that may or may not need entries on this tab.</v>
      </c>
      <c r="N1" s="2004"/>
      <c r="O1" s="2004"/>
      <c r="P1" s="2004"/>
      <c r="Q1" s="2004"/>
      <c r="R1" s="2004"/>
      <c r="S1" s="2004"/>
      <c r="T1" s="2004"/>
      <c r="U1" s="1043"/>
      <c r="Y1" s="583"/>
      <c r="Z1" s="583"/>
      <c r="AA1" s="583"/>
      <c r="AB1" s="583"/>
      <c r="AC1" s="583"/>
      <c r="AD1" s="583"/>
      <c r="AE1" s="583"/>
    </row>
    <row r="2" spans="1:32">
      <c r="A2" s="4"/>
      <c r="B2" s="4"/>
      <c r="C2" s="4"/>
      <c r="D2" s="4"/>
      <c r="E2" s="3"/>
      <c r="F2" s="3"/>
      <c r="G2" s="4"/>
      <c r="H2" s="4"/>
      <c r="I2" s="4"/>
      <c r="J2" s="4"/>
      <c r="K2" s="4"/>
      <c r="M2" s="2004"/>
      <c r="N2" s="2004"/>
      <c r="O2" s="2004"/>
      <c r="P2" s="2004"/>
      <c r="Q2" s="2004"/>
      <c r="R2" s="2004"/>
      <c r="S2" s="2004"/>
      <c r="T2" s="2004"/>
      <c r="U2" s="1043"/>
      <c r="Y2" s="583"/>
      <c r="Z2" s="583"/>
      <c r="AA2" s="583"/>
      <c r="AB2" s="583"/>
      <c r="AC2" s="583"/>
      <c r="AD2" s="583"/>
      <c r="AE2" s="583"/>
    </row>
    <row r="3" spans="1:32" ht="19.350000000000001" customHeight="1">
      <c r="A3" s="166" t="s">
        <v>213</v>
      </c>
      <c r="B3" s="1830" t="s">
        <v>337</v>
      </c>
      <c r="C3" s="1830"/>
      <c r="D3" s="1830"/>
      <c r="E3" s="1830"/>
      <c r="F3" s="1830"/>
      <c r="G3" s="1830"/>
      <c r="H3" s="1830"/>
      <c r="I3" s="1830"/>
      <c r="J3" s="1608"/>
      <c r="K3" s="503"/>
      <c r="L3" s="1937" t="str" cm="1">
        <f t="array" aca="1" ref="L3" ca="1">IF(AND(Total_Units&lt;&gt;"",County="&lt;select one&gt;"),"Attention: please provide the County for the proposed Development at Section 4.A.5.a. in the '"&amp;MID(CELL("filename",'Development Location'!A1),FIND("]",CELL("filename",'Development Location'!A1))+1,255)&amp;"' tab.",IF(AND(N(Total_Units)&gt;0,N(Total_Units)&lt;DS_Min_Units),"Attention: Minimum number of units of "&amp;TEXT(DS_Min_Units,"0")&amp;" not met.",IF(AND(N(Total_Units)&gt;0,N(Total_Units)&gt;=DS_Min_Units),"Minimum number of units of "&amp;TEXT(DS_Min_Units,"0")&amp;" is met.",""))&amp;" "&amp;IF(AND(N(Total_Units)&gt;0,DS_Max_Units&lt;&gt;"No Limit",N(Total_Units)&gt;N(DS_Max_Units)),"Attention: Maximum number of units of "&amp;IF(DS_Max_Units="TBD","TBD",TEXT(N(DS_Max_Units),"0"))&amp;" is not met.",IF(AND(N(Total_Units)&gt;0,DS_Max_Units&lt;&gt;"No Limit",N(Total_Units)&lt;=N(DS_Max_Units)),"Maximum number of units of "&amp;TEXT(N(DS_Max_Units),"0")&amp;" is met.",IF(DS_Max_Units="No Limit","There is no maximum unit limit.",""))))</f>
        <v xml:space="preserve"> </v>
      </c>
      <c r="M3" s="1937"/>
      <c r="N3" s="1937"/>
      <c r="P3" s="588">
        <v>1</v>
      </c>
      <c r="Q3" s="580">
        <f>IF(AND(P3&lt;&gt;0,J3&lt;&gt;""),P3,0)</f>
        <v>0</v>
      </c>
      <c r="R3" s="581" t="str">
        <f>CHOOSE(P3+1,"Not to be included in this RFA","A REQUIRED input field for this RFA","An OPTIONAL input field for this RFA")</f>
        <v>A REQUIRED input field for this RFA</v>
      </c>
      <c r="U3"/>
    </row>
    <row r="4" spans="1:32" ht="14.4" customHeight="1">
      <c r="A4" s="77"/>
      <c r="B4" s="4"/>
      <c r="C4" s="1613" t="str">
        <f>IF(J3="","(Total Units must have an entry to turn on some of the validation formulas in Exhibit A)","")</f>
        <v>(Total Units must have an entry to turn on some of the validation formulas in Exhibit A)</v>
      </c>
      <c r="D4" s="4"/>
      <c r="E4" s="4"/>
      <c r="F4" s="4"/>
      <c r="G4" s="4"/>
      <c r="H4" s="4"/>
      <c r="I4" s="4"/>
      <c r="J4" s="4"/>
      <c r="K4" s="4"/>
      <c r="L4" s="1937"/>
      <c r="M4" s="1937"/>
      <c r="N4" s="1937"/>
      <c r="U4"/>
    </row>
    <row r="5" spans="1:32" ht="33" hidden="1" customHeight="1">
      <c r="A5" s="633" t="str" cm="1">
        <f t="array" ref="A5">IF($P6=0,"",CHAR(CODE(LOOKUP(2,1/(COUNTIF(A$3:A4,"&gt;"&amp;A$3:A4&amp;"*")=0),A$3:A4))+1))</f>
        <v/>
      </c>
      <c r="B5" s="1830" t="str">
        <f>"If the Development Category committed to is "&amp;IF(Development_Category="Preservation","Preservation","Rehabilition")&amp;",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5" s="1830"/>
      <c r="D5" s="1830"/>
      <c r="E5" s="1830"/>
      <c r="F5" s="1830"/>
      <c r="G5" s="1830"/>
      <c r="H5" s="1830"/>
      <c r="I5" s="1830"/>
      <c r="J5" s="1830"/>
      <c r="K5" s="503"/>
      <c r="U5"/>
    </row>
    <row r="6" spans="1:32" ht="17.399999999999999" hidden="1" customHeight="1">
      <c r="A6" s="77"/>
      <c r="C6" s="1958" t="s">
        <v>2</v>
      </c>
      <c r="D6" s="1958"/>
      <c r="E6" s="1958"/>
      <c r="F6" s="1958"/>
      <c r="G6" s="1958"/>
      <c r="H6" s="1958"/>
      <c r="I6" s="1958"/>
      <c r="J6" s="1958"/>
      <c r="K6" s="1958"/>
      <c r="P6" s="717">
        <f>IF(S6=0,0,IF(OR(Development_Category="Rehabilitation",Development_Category="Acquisition and Rehabilitation",Development_Category="Preservation",Development_Category="Acquisition and Preservation"),1,2))</f>
        <v>0</v>
      </c>
      <c r="Q6" s="390">
        <f>IF(AND(P6&lt;&gt;0,AND(C6&lt;&gt;"&lt;select one&gt;",C6&lt;&gt;"")),P6,0)</f>
        <v>0</v>
      </c>
      <c r="R6" s="581" t="str">
        <f>CHOOSE(P6+1,"Not to be included in this RFA","A REQUIRED input field for this RFA","An OPTIONAL input field for this RFA")</f>
        <v>Not to be included in this RFA</v>
      </c>
      <c r="S6" s="397">
        <v>0</v>
      </c>
      <c r="U6"/>
    </row>
    <row r="7" spans="1:32" ht="7.5" hidden="1" customHeight="1">
      <c r="A7" s="77"/>
      <c r="B7" s="4"/>
      <c r="C7" s="4"/>
      <c r="D7" s="4"/>
      <c r="E7" s="4"/>
      <c r="F7" s="4"/>
      <c r="G7" s="4"/>
      <c r="H7" s="4"/>
      <c r="I7" s="4"/>
      <c r="J7" s="4"/>
      <c r="K7" s="4"/>
    </row>
    <row r="8" spans="1:32" ht="33" customHeight="1">
      <c r="A8" s="633" t="str" cm="1">
        <f t="array" ref="A8">IF($R8=0,"",CHAR(CODE(LOOKUP(2,1/(COUNTIF(A$3:A7,"&gt;"&amp;A$3:A7&amp;"*")=0),A$3:A7))+1))</f>
        <v>b</v>
      </c>
      <c r="B8" s="1830" t="s">
        <v>338</v>
      </c>
      <c r="C8" s="1830"/>
      <c r="D8" s="1830"/>
      <c r="E8" s="1830"/>
      <c r="F8" s="1830"/>
      <c r="G8" s="1830"/>
      <c r="H8" s="1830"/>
      <c r="I8" s="1830"/>
      <c r="J8" s="1830"/>
      <c r="K8" s="503"/>
      <c r="R8" s="576">
        <v>1</v>
      </c>
      <c r="U8"/>
    </row>
    <row r="9" spans="1:32" ht="7.5" customHeight="1">
      <c r="A9" s="77"/>
      <c r="B9" s="4"/>
      <c r="C9" s="4"/>
      <c r="D9" s="4"/>
      <c r="E9" s="4"/>
      <c r="F9" s="4"/>
      <c r="G9" s="4"/>
      <c r="H9" s="4"/>
      <c r="I9" s="4"/>
      <c r="J9" s="4"/>
      <c r="K9" s="4"/>
    </row>
    <row r="10" spans="1:32">
      <c r="A10" s="633" t="str" cm="1">
        <f t="array" ref="A10">CHAR(CODE(LOOKUP(2,1/(COUNTIF(A$3:A9,"&gt;"&amp;A$3:A9&amp;"*")=0),A$3:A9))+1)</f>
        <v>c</v>
      </c>
      <c r="B10" s="46" t="s">
        <v>339</v>
      </c>
      <c r="C10" s="4"/>
      <c r="D10" s="4"/>
      <c r="E10" s="4"/>
      <c r="F10" s="4"/>
      <c r="G10" s="4"/>
      <c r="H10" s="4"/>
      <c r="I10" s="4"/>
      <c r="J10" s="4"/>
      <c r="K10" s="4"/>
    </row>
    <row r="11" spans="1:32" ht="30" customHeight="1">
      <c r="A11" s="633"/>
      <c r="B11" s="585" t="s">
        <v>215</v>
      </c>
      <c r="C11" s="1394" t="s">
        <v>1991</v>
      </c>
      <c r="D11" s="4"/>
      <c r="E11" s="4"/>
      <c r="F11" s="4"/>
      <c r="G11" s="4"/>
      <c r="H11" s="4"/>
      <c r="I11" s="4"/>
      <c r="J11" s="4"/>
      <c r="K11" s="4"/>
    </row>
    <row r="12" spans="1:32" ht="30" hidden="1" customHeight="1">
      <c r="A12" s="4"/>
      <c r="B12" s="585" t="s">
        <v>215</v>
      </c>
      <c r="C12" s="6" t="s">
        <v>340</v>
      </c>
      <c r="D12" s="7"/>
      <c r="F12" s="4"/>
      <c r="G12" s="4"/>
      <c r="H12" s="4"/>
      <c r="I12" s="4"/>
      <c r="J12" s="4"/>
      <c r="K12" s="4"/>
      <c r="L12" s="1744" t="str">
        <f>IF(OR(Minimum_SetAside_per_Sec_42="&lt;select one&gt;",Minimum_SetAside_per_Sec_42="Average Income Test"),"",DS_Comment_Total_Units_a&amp;DS_Comment_Min_IRS_and_Loan_SA_a&amp;DS_Comment_Min_IRS_NonProfit_SA_a&amp;DS_Comment_Min_Max_Workforce_SA_a&amp;DS_Comment_Min_ElderlyALF_SA_a&amp;DS_Comment_Min_RFA_SA_a&amp;DS_Comment_Min_ELI_SA_a)</f>
        <v/>
      </c>
      <c r="M12" s="1744"/>
      <c r="N12" s="1744"/>
      <c r="O12" s="1744"/>
      <c r="U12"/>
    </row>
    <row r="13" spans="1:32" ht="17.399999999999999" hidden="1" customHeight="1">
      <c r="A13" s="4"/>
      <c r="B13" s="4"/>
      <c r="C13" s="1957" t="s">
        <v>2</v>
      </c>
      <c r="D13" s="1957"/>
      <c r="E13" s="1957"/>
      <c r="F13" s="1957"/>
      <c r="G13" s="1957"/>
      <c r="H13" s="1957"/>
      <c r="I13" s="1957"/>
      <c r="J13" s="1957"/>
      <c r="K13" s="1957"/>
      <c r="L13" s="1744"/>
      <c r="M13" s="1744"/>
      <c r="N13" s="1744"/>
      <c r="O13" s="1744"/>
      <c r="P13" s="588">
        <v>0</v>
      </c>
      <c r="Q13" s="390">
        <f>IF(AND(P13&lt;&gt;0,AND(C13&lt;&gt;"&lt;select one&gt;",C13&lt;&gt;"")),P13,0)</f>
        <v>0</v>
      </c>
      <c r="R13" s="581" t="str">
        <f>CHOOSE(P13+1,"Not to be included in this RFA","A REQUIRED input field for this RFA","An OPTIONAL input field for this RFA")</f>
        <v>Not to be included in this RFA</v>
      </c>
      <c r="U13"/>
      <c r="V13" s="601"/>
      <c r="W13" s="601"/>
      <c r="X13" s="601"/>
      <c r="Y13" s="601"/>
      <c r="Z13" s="601"/>
      <c r="AA13" s="601"/>
      <c r="AB13" s="601"/>
      <c r="AC13" s="601"/>
      <c r="AD13" s="601"/>
      <c r="AE13" s="601"/>
      <c r="AF13" s="601"/>
    </row>
    <row r="14" spans="1:32" ht="7.5" hidden="1" customHeight="1">
      <c r="A14" s="4"/>
      <c r="B14" s="4"/>
      <c r="C14" s="4"/>
      <c r="D14" s="4"/>
      <c r="E14" s="4"/>
      <c r="F14" s="4"/>
      <c r="G14" s="4"/>
      <c r="H14" s="4"/>
      <c r="I14" s="4"/>
      <c r="J14" s="4"/>
      <c r="K14" s="4"/>
      <c r="L14" s="1744"/>
      <c r="M14" s="1744"/>
      <c r="N14" s="1744"/>
      <c r="O14" s="1744"/>
      <c r="U14"/>
      <c r="V14" s="601"/>
      <c r="W14" s="601"/>
      <c r="X14" s="601"/>
      <c r="Y14" s="601"/>
      <c r="Z14" s="601"/>
      <c r="AA14" s="601"/>
      <c r="AB14" s="601"/>
      <c r="AC14" s="601"/>
      <c r="AD14" s="601"/>
      <c r="AE14" s="601"/>
      <c r="AF14" s="601"/>
    </row>
    <row r="15" spans="1:32" ht="14.4" hidden="1" customHeight="1">
      <c r="A15" s="4"/>
      <c r="B15" s="1432" t="str">
        <f>IF($P$13=0,"(1)","(2)")</f>
        <v>(1)</v>
      </c>
      <c r="C15" s="1433" t="s">
        <v>341</v>
      </c>
      <c r="D15" s="1434"/>
      <c r="E15" s="1364"/>
      <c r="F15" s="963"/>
      <c r="G15" s="963"/>
      <c r="H15" s="963"/>
      <c r="I15" s="963"/>
      <c r="J15" s="963"/>
      <c r="K15" s="963"/>
      <c r="L15" s="1744"/>
      <c r="M15" s="1744"/>
      <c r="N15" s="1744"/>
      <c r="O15" s="1744"/>
      <c r="P15" s="588">
        <v>0</v>
      </c>
      <c r="Q15" s="390">
        <f>IF(AND(P15&lt;&gt;0,OR(AND(Minimum_SetAside_per_Sec_42&lt;&gt;"&lt;select one&gt;",Minimum_SetAside_per_Sec_42&lt;&gt;"Average Income Test",pct_units_in_setaside_chart=1),AND(Minimum_SetAside_per_Sec_42="Average Income Test",Total_AIT_Chart_Units=Total_Units))),P15,0)</f>
        <v>0</v>
      </c>
      <c r="R15" s="648" t="str">
        <f>CHOOSE(P15+1,"Not to be included in this RFA","A REQUIRED input field for this RFA","An OPTIONAL input field for this RFA")</f>
        <v>Not to be included in this RFA</v>
      </c>
      <c r="S15" s="42" t="s">
        <v>1990</v>
      </c>
      <c r="U15" s="601"/>
      <c r="V15" s="601"/>
      <c r="W15" s="601"/>
      <c r="X15" s="601"/>
      <c r="Y15" s="601"/>
      <c r="Z15" s="601"/>
      <c r="AA15" s="601"/>
      <c r="AB15" s="601"/>
      <c r="AC15" s="601"/>
      <c r="AD15" s="601"/>
      <c r="AE15" s="601"/>
      <c r="AF15" s="601"/>
    </row>
    <row r="16" spans="1:32" ht="7.5" hidden="1" customHeight="1">
      <c r="A16" s="4"/>
      <c r="B16" s="1434"/>
      <c r="C16" s="1434"/>
      <c r="D16" s="1434"/>
      <c r="E16" s="963"/>
      <c r="F16" s="963"/>
      <c r="G16" s="963"/>
      <c r="H16" s="963"/>
      <c r="I16" s="963"/>
      <c r="J16" s="963"/>
      <c r="K16" s="963" t="s">
        <v>711</v>
      </c>
      <c r="L16" s="1744"/>
      <c r="M16" s="1744"/>
      <c r="N16" s="1744"/>
      <c r="O16" s="1744"/>
      <c r="U16" s="601"/>
      <c r="V16" s="601"/>
      <c r="W16" s="601"/>
      <c r="X16" s="601"/>
      <c r="Y16" s="601"/>
      <c r="Z16" s="601"/>
      <c r="AA16" s="601"/>
      <c r="AB16" s="601"/>
      <c r="AC16" s="601"/>
      <c r="AD16" s="601"/>
      <c r="AE16" s="601"/>
      <c r="AF16" s="601"/>
    </row>
    <row r="17" spans="1:32" ht="14.4" hidden="1" customHeight="1">
      <c r="A17" s="4"/>
      <c r="B17" s="1434"/>
      <c r="C17" s="1434"/>
      <c r="D17" s="1434"/>
      <c r="E17" s="963"/>
      <c r="F17" s="963"/>
      <c r="G17" s="963"/>
      <c r="H17" s="963"/>
      <c r="I17" s="963"/>
      <c r="J17" s="963"/>
      <c r="K17" s="963"/>
      <c r="L17" s="1744"/>
      <c r="M17" s="1744"/>
      <c r="N17" s="1744"/>
      <c r="O17" s="1744"/>
      <c r="U17" s="601"/>
      <c r="V17" s="601"/>
      <c r="W17" s="601"/>
      <c r="X17" s="601"/>
      <c r="Y17" s="601"/>
      <c r="Z17" s="601"/>
      <c r="AA17" s="601"/>
      <c r="AB17" s="601"/>
      <c r="AC17" s="601"/>
      <c r="AD17" s="601"/>
      <c r="AE17" s="601"/>
      <c r="AF17" s="601"/>
    </row>
    <row r="18" spans="1:32" ht="44.1" hidden="1" customHeight="1">
      <c r="A18" s="4"/>
      <c r="B18" s="963"/>
      <c r="C18" s="1435" t="s">
        <v>1189</v>
      </c>
      <c r="D18" s="1952" t="str">
        <f>IF(Minimum_SetAside_per_Sec_42&lt;&gt;Data1!A342,"Applicants committing to the minimum IRS set-aside commitment of "&amp;IF(Minimum_SetAside_per_Sec_42=Data1!A339,"20 percent of the total units at 50 percent of the Area Median Income or less",IF(Minimum_SetAside_per_Sec_42=Data1!A340,"40 percent of the total units at 60 percent of the Area Median Income or less","20 percent of the total units at 50 percent of the Area Median Income or less or 40 percent of the total units at 60 percent of the Area Median Income or less"))&amp;" must complete the following chart for HC Set-Aside Commitments.","Applicants must complete the following chart. The "&amp;Data1!B356&amp;" Set-Aside Commitments below are for the entire "&amp;TEXT(Data1!B373,"0")&amp;" years"&amp;IF(OR(Data1!B374=Data1!B373,Data1!B374=0),"."," while the ELI Set-Aside Commitment is for only "&amp;TEXT(Data1!B374,"0")&amp;" years prior to returning to 60% AMI."))</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18" s="1952"/>
      <c r="F18" s="1952"/>
      <c r="G18" s="1952"/>
      <c r="H18" s="1952"/>
      <c r="I18" s="1952"/>
      <c r="J18" s="1952"/>
      <c r="K18" s="1436"/>
      <c r="L18" s="1744"/>
      <c r="M18" s="1744"/>
      <c r="N18" s="1744"/>
      <c r="O18" s="1744"/>
      <c r="P18" s="45"/>
      <c r="Q18" s="45"/>
      <c r="R18" s="576">
        <v>0</v>
      </c>
      <c r="U18" s="601"/>
      <c r="V18" s="601"/>
      <c r="W18" s="601"/>
      <c r="X18" s="601"/>
      <c r="Y18" s="601"/>
      <c r="Z18" s="601"/>
      <c r="AA18" s="601"/>
      <c r="AB18" s="601"/>
      <c r="AC18" s="601"/>
      <c r="AD18" s="601"/>
      <c r="AE18" s="601"/>
      <c r="AF18" s="601"/>
    </row>
    <row r="19" spans="1:32" ht="10.35" hidden="1" customHeight="1" thickBot="1">
      <c r="A19" s="4"/>
      <c r="B19" s="4"/>
      <c r="C19" s="4"/>
      <c r="D19" s="4"/>
      <c r="E19" s="18"/>
      <c r="F19" s="143"/>
      <c r="G19" s="143"/>
      <c r="H19" s="143"/>
      <c r="I19" s="143"/>
      <c r="J19" s="143"/>
      <c r="K19" s="500"/>
      <c r="L19" s="1744"/>
      <c r="M19" s="1744"/>
      <c r="N19" s="1744"/>
      <c r="O19" s="1744"/>
      <c r="U19" s="601"/>
      <c r="V19" s="601"/>
      <c r="W19" s="601"/>
      <c r="X19" s="601"/>
      <c r="Y19" s="601"/>
      <c r="Z19" s="601"/>
      <c r="AA19" s="601"/>
      <c r="AB19" s="601"/>
      <c r="AC19" s="601"/>
      <c r="AD19" s="601"/>
      <c r="AE19" s="601"/>
      <c r="AF19" s="601"/>
    </row>
    <row r="20" spans="1:32" ht="44.1" hidden="1" customHeight="1">
      <c r="A20" s="4"/>
      <c r="B20" s="4"/>
      <c r="C20" s="4"/>
      <c r="D20" s="4"/>
      <c r="E20" s="4"/>
      <c r="F20" s="957" t="s">
        <v>342</v>
      </c>
      <c r="G20" s="1940" t="s">
        <v>343</v>
      </c>
      <c r="H20" s="1941"/>
      <c r="I20" s="919" t="s">
        <v>344</v>
      </c>
      <c r="J20" s="958" t="s">
        <v>345</v>
      </c>
      <c r="K20" s="525"/>
      <c r="L20" s="1852" t="str">
        <f>IF(Minimum_SetAside_per_Sec_42="Average Income Test","This table has been greyed out because the Applicant has selected the other minimum IRS set-aside commitment table. No entries should be entered.","")</f>
        <v/>
      </c>
      <c r="M20" s="1852"/>
      <c r="N20" s="1852"/>
      <c r="O20" s="1852"/>
      <c r="P20" s="798"/>
      <c r="Q20" s="798"/>
      <c r="U20" s="601"/>
      <c r="V20" s="601"/>
      <c r="W20" s="601"/>
      <c r="X20" s="601"/>
      <c r="Y20" s="601"/>
      <c r="Z20" s="601"/>
      <c r="AA20" s="601"/>
      <c r="AB20" s="601"/>
      <c r="AC20" s="601"/>
      <c r="AD20" s="601"/>
      <c r="AE20" s="601"/>
      <c r="AF20" s="601"/>
    </row>
    <row r="21" spans="1:32" ht="17.399999999999999" hidden="1" customHeight="1">
      <c r="A21" s="4"/>
      <c r="B21" s="4"/>
      <c r="C21" s="4"/>
      <c r="D21" s="4"/>
      <c r="E21" s="4"/>
      <c r="F21" s="920">
        <f>ROUNDUP(G21*Total_Units,0)</f>
        <v>0</v>
      </c>
      <c r="G21" s="1923"/>
      <c r="H21" s="1924"/>
      <c r="I21" s="908">
        <v>0.25</v>
      </c>
      <c r="J21" s="1938" t="str">
        <f>IF(Minimum_SetAside_per_Sec_42=Data1!A342,DS_Loan_Name,"Housing Credit")&amp;" Units"</f>
        <v>Housing Credit Units</v>
      </c>
      <c r="K21" s="70"/>
      <c r="L21" s="571" t="str">
        <f t="shared" ref="L21:L27" si="0">IF(OR($C$13="&lt;select one&gt;",$C$13="Average Income Test"),"",IF(AND($C$13&lt;&gt;"&lt;select one&gt;",$C$13&lt;&gt;"Average Income Test",I21&lt;IFERROR(VLOOKUP(County,DS_CountyData,14),0)),"",IF(I21=IFERROR(VLOOKUP(County,DS_CountyData,14),0),"&lt;= "&amp;County&amp;" County's designated ELI AMI Level is "&amp;TEXT(IFERROR(VLOOKUP(County,DS_CountyData,14),0),"0%")&amp;".","")))</f>
        <v/>
      </c>
      <c r="M21" s="571"/>
      <c r="N21" s="571"/>
      <c r="U21" s="601"/>
      <c r="V21" s="601"/>
      <c r="W21" s="601"/>
      <c r="X21" s="601"/>
      <c r="Y21" s="601"/>
      <c r="Z21" s="601"/>
      <c r="AA21" s="601"/>
      <c r="AB21" s="601"/>
      <c r="AC21" s="601"/>
      <c r="AD21" s="601"/>
      <c r="AE21" s="601"/>
      <c r="AF21" s="601"/>
    </row>
    <row r="22" spans="1:32" ht="17.399999999999999" hidden="1" customHeight="1">
      <c r="A22" s="4"/>
      <c r="B22" s="4"/>
      <c r="C22" s="4"/>
      <c r="D22" s="4"/>
      <c r="E22" s="4"/>
      <c r="F22" s="921">
        <f>ROUNDUP(SUM(G$21:G22)*Total_Units,0)-SUM(F$21:F21)</f>
        <v>0</v>
      </c>
      <c r="G22" s="1942"/>
      <c r="H22" s="1943"/>
      <c r="I22" s="909">
        <v>0.28000000000000003</v>
      </c>
      <c r="J22" s="1939"/>
      <c r="K22" s="70"/>
      <c r="L22" s="571" t="str">
        <f t="shared" si="0"/>
        <v/>
      </c>
      <c r="M22" s="571"/>
      <c r="N22" s="571"/>
      <c r="U22" s="601"/>
      <c r="V22" s="601"/>
      <c r="W22" s="601"/>
      <c r="X22" s="601"/>
      <c r="Y22" s="601"/>
      <c r="Z22" s="601"/>
      <c r="AA22" s="601"/>
      <c r="AB22" s="601"/>
      <c r="AC22" s="601"/>
      <c r="AD22" s="601"/>
      <c r="AE22" s="601"/>
      <c r="AF22" s="601"/>
    </row>
    <row r="23" spans="1:32" ht="17.399999999999999" hidden="1" customHeight="1">
      <c r="A23" s="4"/>
      <c r="B23" s="4"/>
      <c r="C23" s="4"/>
      <c r="D23" s="4"/>
      <c r="E23" s="4"/>
      <c r="F23" s="921">
        <f>ROUNDUP(SUM(G$21:G23)*Total_Units,0)-SUM(F$21:F22)</f>
        <v>0</v>
      </c>
      <c r="G23" s="1919"/>
      <c r="H23" s="1920"/>
      <c r="I23" s="909">
        <v>0.3</v>
      </c>
      <c r="J23" s="1939"/>
      <c r="K23" s="70"/>
      <c r="L23" s="571" t="str">
        <f t="shared" si="0"/>
        <v/>
      </c>
      <c r="M23" s="571"/>
      <c r="N23" s="571"/>
      <c r="U23" s="601"/>
      <c r="V23" s="601"/>
      <c r="W23" s="601"/>
      <c r="X23" s="601"/>
      <c r="Y23" s="601"/>
      <c r="Z23" s="601"/>
      <c r="AA23" s="601"/>
      <c r="AB23" s="601"/>
      <c r="AC23" s="601"/>
      <c r="AD23" s="601"/>
      <c r="AE23" s="601"/>
      <c r="AF23" s="601"/>
    </row>
    <row r="24" spans="1:32" ht="17.399999999999999" hidden="1" customHeight="1">
      <c r="A24" s="4"/>
      <c r="B24" s="4"/>
      <c r="C24" s="4"/>
      <c r="D24" s="4"/>
      <c r="E24" s="4"/>
      <c r="F24" s="921">
        <f>ROUNDUP(SUM(G$21:G24)*Total_Units,0)-SUM(F$21:F23)</f>
        <v>0</v>
      </c>
      <c r="G24" s="1919"/>
      <c r="H24" s="1920"/>
      <c r="I24" s="909">
        <v>0.33</v>
      </c>
      <c r="J24" s="1939"/>
      <c r="K24" s="70"/>
      <c r="L24" s="571" t="str">
        <f t="shared" si="0"/>
        <v/>
      </c>
      <c r="M24" s="571"/>
      <c r="N24" s="571"/>
      <c r="U24" s="601"/>
      <c r="V24" s="601"/>
      <c r="W24" s="601"/>
      <c r="X24" s="601"/>
      <c r="Y24" s="601"/>
      <c r="Z24" s="601"/>
      <c r="AA24" s="601"/>
      <c r="AB24" s="601"/>
      <c r="AC24" s="601"/>
      <c r="AD24" s="601"/>
      <c r="AE24" s="601"/>
      <c r="AF24" s="601"/>
    </row>
    <row r="25" spans="1:32" ht="17.399999999999999" hidden="1" customHeight="1">
      <c r="A25" s="4"/>
      <c r="B25" s="4"/>
      <c r="C25" s="4"/>
      <c r="D25" s="4"/>
      <c r="E25" s="4"/>
      <c r="F25" s="921">
        <f>ROUNDUP(SUM(G$21:G25)*Total_Units,0)-SUM(F$21:F24)</f>
        <v>0</v>
      </c>
      <c r="G25" s="1919"/>
      <c r="H25" s="1920"/>
      <c r="I25" s="909">
        <v>0.35</v>
      </c>
      <c r="J25" s="1939"/>
      <c r="K25" s="70"/>
      <c r="L25" s="571" t="str">
        <f t="shared" si="0"/>
        <v/>
      </c>
      <c r="M25" s="571"/>
      <c r="N25" s="571"/>
      <c r="R25" s="1981" t="s">
        <v>1319</v>
      </c>
      <c r="U25" s="601"/>
      <c r="V25" s="601"/>
      <c r="W25" s="601"/>
      <c r="X25" s="601"/>
      <c r="Y25" s="601"/>
      <c r="Z25" s="601"/>
      <c r="AA25" s="601"/>
      <c r="AB25" s="601"/>
      <c r="AC25" s="601"/>
      <c r="AD25" s="601"/>
      <c r="AE25" s="601"/>
      <c r="AF25" s="601"/>
    </row>
    <row r="26" spans="1:32" ht="17.399999999999999" hidden="1" customHeight="1">
      <c r="A26" s="4"/>
      <c r="B26" s="4"/>
      <c r="C26" s="4"/>
      <c r="D26" s="4"/>
      <c r="E26" s="4"/>
      <c r="F26" s="921">
        <f>ROUNDUP(SUM(G$21:G26)*Total_Units,0)-SUM(F$21:F25)</f>
        <v>0</v>
      </c>
      <c r="G26" s="1919"/>
      <c r="H26" s="1920"/>
      <c r="I26" s="909">
        <v>0.4</v>
      </c>
      <c r="J26" s="1939"/>
      <c r="K26" s="70"/>
      <c r="L26" s="571" t="str">
        <f t="shared" si="0"/>
        <v/>
      </c>
      <c r="M26" s="571"/>
      <c r="N26" s="571"/>
      <c r="R26" s="1982"/>
      <c r="U26" s="601"/>
      <c r="V26" s="601"/>
      <c r="W26" s="601"/>
      <c r="X26" s="601"/>
      <c r="Y26" s="601"/>
      <c r="Z26" s="601"/>
      <c r="AA26" s="601"/>
      <c r="AB26" s="601"/>
      <c r="AC26" s="601"/>
      <c r="AD26" s="601"/>
      <c r="AE26" s="601"/>
      <c r="AF26" s="601"/>
    </row>
    <row r="27" spans="1:32" ht="17.399999999999999" hidden="1" customHeight="1">
      <c r="A27" s="4"/>
      <c r="B27" s="4"/>
      <c r="C27" s="4"/>
      <c r="D27" s="4"/>
      <c r="E27" s="4"/>
      <c r="F27" s="921">
        <f>ROUNDUP(SUM(G$21:G27)*Total_Units,0)-SUM(F$21:F26)</f>
        <v>0</v>
      </c>
      <c r="G27" s="1919"/>
      <c r="H27" s="1920"/>
      <c r="I27" s="909">
        <v>0.45</v>
      </c>
      <c r="J27" s="1939"/>
      <c r="K27" s="70"/>
      <c r="L27" s="571" t="str">
        <f t="shared" si="0"/>
        <v/>
      </c>
      <c r="M27" s="571"/>
      <c r="N27" s="571"/>
      <c r="R27" s="584">
        <v>0</v>
      </c>
      <c r="U27" s="601"/>
      <c r="V27" s="601"/>
      <c r="W27" s="601"/>
      <c r="X27" s="601"/>
      <c r="Y27" s="601"/>
      <c r="Z27" s="601"/>
      <c r="AA27" s="601"/>
      <c r="AB27" s="601"/>
      <c r="AC27" s="601"/>
      <c r="AD27" s="601"/>
      <c r="AE27" s="601"/>
      <c r="AF27" s="601"/>
    </row>
    <row r="28" spans="1:32" ht="17.399999999999999" hidden="1" customHeight="1">
      <c r="A28" s="4"/>
      <c r="B28" s="4"/>
      <c r="C28" s="4"/>
      <c r="D28" s="4"/>
      <c r="E28" s="4"/>
      <c r="F28" s="921">
        <f>ROUNDUP(SUM(G$21:G28)*Total_Units,0)-SUM(F$21:F27)</f>
        <v>0</v>
      </c>
      <c r="G28" s="1919"/>
      <c r="H28" s="1920"/>
      <c r="I28" s="909">
        <v>0.5</v>
      </c>
      <c r="J28" s="1939"/>
      <c r="K28" s="70"/>
      <c r="L28" s="571" t="str">
        <f>IF(AND(DS_Loan_Name="HOME",Minimum_SetAside_per_Sec_42=Data1!A$342),"&lt;= Low HOME Rent Units; must equal 20% of Total HOME-Assisted Units ("&amp;TEXT(ROUNDUP(20%*SUM(Funding!F49:F53),0),"0")&amp;")","")</f>
        <v/>
      </c>
      <c r="U28" s="601"/>
      <c r="V28" s="601"/>
      <c r="W28" s="601"/>
      <c r="X28" s="601"/>
      <c r="Y28" s="601"/>
      <c r="Z28" s="601"/>
      <c r="AA28" s="601"/>
      <c r="AB28" s="601"/>
      <c r="AC28" s="601"/>
      <c r="AD28" s="601"/>
      <c r="AE28" s="601"/>
      <c r="AF28" s="601"/>
    </row>
    <row r="29" spans="1:32" ht="17.399999999999999" hidden="1" customHeight="1">
      <c r="A29" s="4"/>
      <c r="B29" s="4"/>
      <c r="C29" s="4"/>
      <c r="D29" s="4"/>
      <c r="E29" s="1038"/>
      <c r="F29" s="1022">
        <f>IF(Minimum_SetAside_per_Sec_42=Data1!A339,"",ROUNDUP(SUM(G$21:G29)*Total_Units,0)-SUM(F$21:F28))</f>
        <v>0</v>
      </c>
      <c r="G29" s="1919"/>
      <c r="H29" s="1920"/>
      <c r="I29" s="909">
        <v>0.6</v>
      </c>
      <c r="J29" s="1939"/>
      <c r="K29" s="70"/>
      <c r="L29" s="571" t="str">
        <f>IF(LEFT($C$13,3)="20%","&lt;= These units cannot be HC Units due to minimum IRS Set-Aside selected.","")</f>
        <v/>
      </c>
      <c r="R29" s="1101"/>
      <c r="U29" s="601"/>
      <c r="V29" s="601"/>
      <c r="W29" s="601"/>
      <c r="X29" s="601"/>
      <c r="Y29" s="601"/>
      <c r="Z29" s="601"/>
      <c r="AA29" s="601"/>
      <c r="AB29" s="601"/>
      <c r="AC29" s="601"/>
      <c r="AD29" s="601"/>
      <c r="AE29" s="601"/>
      <c r="AF29" s="601"/>
    </row>
    <row r="30" spans="1:32" ht="17.399999999999999" hidden="1" customHeight="1" thickBot="1">
      <c r="A30" s="4"/>
      <c r="B30" s="4"/>
      <c r="C30" s="4"/>
      <c r="D30" s="4"/>
      <c r="E30" s="1100"/>
      <c r="F30" s="1022">
        <f>IF(Minimum_SetAside_per_Sec_42=Data1!A340,"",ROUNDUP(SUM(G$21:G30)*Total_Units,0)-SUM(F$21:F29))</f>
        <v>0</v>
      </c>
      <c r="G30" s="1921"/>
      <c r="H30" s="1922"/>
      <c r="I30" s="912">
        <v>0.65</v>
      </c>
      <c r="J30" s="965"/>
      <c r="K30" s="70"/>
      <c r="L30" s="571" t="str">
        <f>IF(AND(DS_Loan_Name="HOME",Minimum_SetAside_per_Sec_42=Data1!A$342),"&lt;= High HOME Rent Units; must equal the remaining HOME-Assisted Units ("&amp;TEXT(SUM(Funding!F49:F53)-ROUNDUP(20%*SUM(Funding!F49:F53),0),"0")&amp;")","")</f>
        <v/>
      </c>
      <c r="R30" s="1102">
        <v>0</v>
      </c>
      <c r="U30" s="601"/>
      <c r="V30" s="601"/>
      <c r="W30" s="601"/>
      <c r="X30" s="601"/>
      <c r="Y30" s="601"/>
      <c r="Z30" s="601"/>
      <c r="AA30" s="601"/>
      <c r="AB30" s="601"/>
      <c r="AC30" s="601"/>
      <c r="AD30" s="601"/>
      <c r="AE30" s="601"/>
      <c r="AF30" s="601"/>
    </row>
    <row r="31" spans="1:32" ht="44.1" hidden="1" customHeight="1" thickBot="1">
      <c r="A31" s="4"/>
      <c r="B31" s="4"/>
      <c r="C31" s="4"/>
      <c r="D31" s="4"/>
      <c r="E31" s="4"/>
      <c r="F31" s="1006">
        <f>IF(SUM(G21:G30)=0,0,ROUNDUP((SUM(G21:G31)-IF(AND(Minimum_SetAside_per_Sec_42=Data1!$A$339,N($G29)&gt;0),G29,0))*Total_Units,0)-SUM(F21:F29))</f>
        <v>0</v>
      </c>
      <c r="G31" s="1955">
        <f>MAX(0,IF(OR(R27=0,SUM(G21:G30)=0),0,1-SUM(G21:G30)+IF(AND(Minimum_SetAside_per_Sec_42=Data1!$A$339,N($G29)&gt;0),G29,0)))</f>
        <v>0</v>
      </c>
      <c r="H31" s="1956"/>
      <c r="I31" s="1023" t="str">
        <f>IF(R32=0,"Above 60% AMI and up to 120% AMI",IF(R32=1,"Above "&amp;IF(LEFT(Minimum_SetAside_per_Sec_42,2)="20","50%","60%"),"??"))</f>
        <v>Above 60%</v>
      </c>
      <c r="J31" s="902" t="str">
        <f>IF(R32=0,"Workforce",IF(R32=1,"Market Rate","??"))&amp;" Housing Units"</f>
        <v>Market Rate Housing Units</v>
      </c>
      <c r="K31" s="70"/>
      <c r="R31" s="1093" t="s">
        <v>1095</v>
      </c>
      <c r="U31" s="601"/>
      <c r="V31" s="601"/>
      <c r="W31" s="601"/>
      <c r="X31" s="601"/>
      <c r="Y31" s="601"/>
      <c r="Z31" s="601"/>
      <c r="AA31" s="601"/>
      <c r="AB31" s="601"/>
      <c r="AC31" s="601"/>
      <c r="AD31" s="601"/>
      <c r="AE31" s="601"/>
      <c r="AF31" s="601"/>
    </row>
    <row r="32" spans="1:32" ht="29.1" hidden="1" customHeight="1" thickBot="1">
      <c r="A32" s="4"/>
      <c r="B32" s="4"/>
      <c r="C32" s="4"/>
      <c r="D32" s="4"/>
      <c r="E32" s="4"/>
      <c r="F32" s="916">
        <f>SUM(F21:F29)</f>
        <v>0</v>
      </c>
      <c r="G32" s="1950">
        <f>SUM(G21:G28)+IF(Minimum_SetAside_per_Sec_42&lt;&gt;Data1!A339,G29,0)</f>
        <v>0</v>
      </c>
      <c r="H32" s="1951"/>
      <c r="I32" s="917"/>
      <c r="J32" s="918" t="str">
        <f>"Total "&amp;IF(Minimum_SetAside_per_Sec_42=Data1!A342,DS_Loan_Name,"Qualifying HC")&amp;" Units"</f>
        <v>Total Qualifying HC Units</v>
      </c>
      <c r="K32" s="70"/>
      <c r="L32" s="1829" t="str" cm="1">
        <f t="array" ref="L32">IF(OR(Minimum_SetAside_per_Sec_42="&lt;select one&gt;",Minimum_SetAside_per_Sec_42="Average Income Test"),"",IF(total_units_in_setaside_chart=Total_Units,"The total number of units calculated here matches the total number of units stated at 6.a.","Attention:  The total number of units calculated here does not match the total number of units stated at 6.a."))</f>
        <v/>
      </c>
      <c r="M32" s="1829"/>
      <c r="N32" s="1829"/>
      <c r="O32" s="1829"/>
      <c r="R32" s="1024">
        <v>1</v>
      </c>
      <c r="U32" s="601"/>
      <c r="V32" s="601"/>
      <c r="W32" s="601"/>
      <c r="X32" s="601"/>
      <c r="Y32" s="601"/>
      <c r="Z32" s="601"/>
      <c r="AA32" s="601"/>
      <c r="AB32" s="601"/>
      <c r="AC32" s="601"/>
      <c r="AD32" s="601"/>
      <c r="AE32" s="601"/>
      <c r="AF32" s="601"/>
    </row>
    <row r="33" spans="1:25" ht="17.399999999999999" hidden="1" customHeight="1" thickTop="1" thickBot="1">
      <c r="A33" s="4"/>
      <c r="B33" s="4"/>
      <c r="C33" s="4"/>
      <c r="D33" s="4"/>
      <c r="E33" s="4"/>
      <c r="F33" s="913">
        <f>SUM(F21:F31)</f>
        <v>0</v>
      </c>
      <c r="G33" s="1935">
        <f>SUM(G21:G31)</f>
        <v>0</v>
      </c>
      <c r="H33" s="1936"/>
      <c r="I33" s="914"/>
      <c r="J33" s="915" t="s">
        <v>816</v>
      </c>
      <c r="K33" s="70"/>
      <c r="L33" s="1829"/>
      <c r="M33" s="1829"/>
      <c r="N33" s="1829"/>
      <c r="O33" s="1829"/>
      <c r="P33" s="91"/>
      <c r="Q33" s="91"/>
    </row>
    <row r="34" spans="1:25" ht="10.35" hidden="1" customHeight="1">
      <c r="A34" s="4"/>
      <c r="B34" s="4"/>
      <c r="C34" s="4"/>
      <c r="D34" s="4"/>
      <c r="E34" s="4"/>
      <c r="F34" s="68"/>
      <c r="G34" s="69"/>
      <c r="H34" s="69"/>
      <c r="I34" s="70"/>
      <c r="J34" s="91"/>
      <c r="K34" s="91"/>
      <c r="L34" s="1041"/>
      <c r="M34" s="1041"/>
      <c r="N34" s="1041"/>
      <c r="O34" s="1041"/>
      <c r="P34" s="1041"/>
      <c r="Q34" s="91"/>
    </row>
    <row r="35" spans="1:25" ht="44.1" hidden="1" customHeight="1">
      <c r="A35" s="4"/>
      <c r="B35" s="4"/>
      <c r="C35" s="792" t="str" cm="1">
        <f t="array" ref="C35">IF($R35=0,"",CHAR(CODE(LOOKUP(2,1/(COUNTIF(C$18:C34,"&gt;"&amp;C$18:C34&amp;"*")=0),C$18:C34))+1))</f>
        <v/>
      </c>
      <c r="D35" s="1829" t="str">
        <f>"Applicants committing to the IRS Average Income Test must complete this chart for HC Set-Aside Commitments. The minimum ELI Set-Aside Commitment is "&amp;TEXT(Data1!B381+Data1!B382,"0%")&amp;" of Total Units, or "&amp;TEXT(ROUNDUP((Data1!B381+Data1!B382)*N(Total_Units),0),"0")&amp;" units at 30% AMI or less."</f>
        <v>Applicants committing to the IRS Average Income Test must complete this chart for HC Set-Aside Commitments. The minimum ELI Set-Aside Commitment is 0% of Total Units, or 0 units at 30% AMI or less.</v>
      </c>
      <c r="E35" s="1829"/>
      <c r="F35" s="1829"/>
      <c r="G35" s="1829"/>
      <c r="H35" s="1829"/>
      <c r="I35" s="1829"/>
      <c r="J35" s="1829"/>
      <c r="K35" s="500"/>
      <c r="L35" s="1041"/>
      <c r="M35" s="1041"/>
      <c r="N35" s="1041"/>
      <c r="O35" s="1041"/>
      <c r="P35" s="1041"/>
      <c r="R35" s="576">
        <v>0</v>
      </c>
    </row>
    <row r="36" spans="1:25" ht="10.35" hidden="1" customHeight="1" thickBot="1">
      <c r="A36" s="4"/>
      <c r="B36" s="4"/>
      <c r="C36" s="4"/>
      <c r="D36" s="4"/>
      <c r="E36" s="4"/>
      <c r="F36" s="4"/>
      <c r="G36" s="4"/>
      <c r="H36" s="4"/>
      <c r="I36" s="4"/>
      <c r="J36" s="4"/>
      <c r="K36" s="4"/>
      <c r="L36" s="1041"/>
      <c r="M36" s="1041"/>
      <c r="N36" s="1041"/>
      <c r="O36" s="1041"/>
      <c r="P36" s="1041"/>
    </row>
    <row r="37" spans="1:25" ht="44.1" hidden="1" customHeight="1">
      <c r="A37" s="4"/>
      <c r="B37" s="4"/>
      <c r="C37" s="4"/>
      <c r="D37" s="4"/>
      <c r="E37" s="4"/>
      <c r="F37" s="957" t="s">
        <v>342</v>
      </c>
      <c r="G37" s="1940" t="s">
        <v>343</v>
      </c>
      <c r="H37" s="1941"/>
      <c r="I37" s="907" t="s">
        <v>344</v>
      </c>
      <c r="J37" s="959" t="s">
        <v>345</v>
      </c>
      <c r="K37" s="498"/>
      <c r="L37" s="1852" t="str">
        <f>IF(OR(Minimum_SetAside_per_Sec_42=Data1!A339,Minimum_SetAside_per_Sec_42=Data1!A340),"This table has been greyed out because the Applicant has selected the other minimum IRS set-aside commitment table. No entries should entered.",IF(Minimum_SetAside_per_Sec_42=Data1!A$342,"This table should be hidden and not have any entries.",""))</f>
        <v/>
      </c>
      <c r="M37" s="1852"/>
      <c r="N37" s="1852"/>
      <c r="O37" s="1852"/>
      <c r="P37" s="799"/>
      <c r="Q37" s="799"/>
    </row>
    <row r="38" spans="1:25" ht="17.399999999999999" hidden="1" customHeight="1">
      <c r="A38" s="4"/>
      <c r="B38" s="4"/>
      <c r="C38" s="4"/>
      <c r="D38" s="4"/>
      <c r="E38" s="4"/>
      <c r="F38" s="1615"/>
      <c r="G38" s="1997">
        <f t="shared" ref="G38:G45" si="1">IF(OR(Total_Units=0,$F38=0),0,F38/Total_Units)</f>
        <v>0</v>
      </c>
      <c r="H38" s="1998"/>
      <c r="I38" s="908">
        <v>0.2</v>
      </c>
      <c r="J38" s="1944" t="s">
        <v>346</v>
      </c>
      <c r="K38" s="69"/>
      <c r="L38" s="1947" t="str">
        <f>IF(OR(Minimum_SetAside_per_Sec_42="&lt;select one&gt;",Minimum_SetAside_per_Sec_42&lt;&gt;"Average Income Test"),"",DS_Comment_Total_Units_b&amp;DS_Comment_Min_IRS_and_Loan_SA_b&amp;DS_Comment_Min_IRS_NonProfit_SA_b&amp;DS_Comment_Min_Max_Workforce_SA_b&amp;DS_Comment_Min_ElderlyALF_SA_b&amp;DS_Comment_Min_RFA_SA_b&amp;DS_Comment_Min_ELI_SA_b)</f>
        <v/>
      </c>
      <c r="M38" s="1947"/>
      <c r="N38" s="1947"/>
      <c r="O38" s="1947"/>
      <c r="P38" s="935"/>
      <c r="Q38" s="935"/>
      <c r="R38" s="1039"/>
      <c r="S38" s="1039"/>
      <c r="T38" s="1039"/>
      <c r="U38"/>
      <c r="V38" s="1040"/>
      <c r="W38" s="1039"/>
      <c r="X38" s="1039"/>
      <c r="Y38" s="1039"/>
    </row>
    <row r="39" spans="1:25" ht="17.399999999999999" hidden="1" customHeight="1">
      <c r="A39" s="4"/>
      <c r="B39" s="4"/>
      <c r="C39" s="4"/>
      <c r="D39" s="4"/>
      <c r="E39" s="4"/>
      <c r="F39" s="1616"/>
      <c r="G39" s="1953">
        <f t="shared" si="1"/>
        <v>0</v>
      </c>
      <c r="H39" s="1954"/>
      <c r="I39" s="909">
        <v>0.3</v>
      </c>
      <c r="J39" s="1945"/>
      <c r="K39" s="69"/>
      <c r="L39" s="1947"/>
      <c r="M39" s="1947"/>
      <c r="N39" s="1947"/>
      <c r="O39" s="1947"/>
      <c r="P39" s="935"/>
      <c r="Q39" s="935"/>
      <c r="R39" s="1039"/>
      <c r="S39" s="1039"/>
      <c r="T39" s="1039"/>
      <c r="U39"/>
      <c r="V39" s="1039"/>
      <c r="W39" s="1039"/>
      <c r="X39" s="1039"/>
      <c r="Y39" s="1039"/>
    </row>
    <row r="40" spans="1:25" ht="17.399999999999999" hidden="1" customHeight="1">
      <c r="A40" s="4"/>
      <c r="B40" s="4"/>
      <c r="C40" s="4"/>
      <c r="D40" s="4"/>
      <c r="E40" s="4"/>
      <c r="F40" s="1616"/>
      <c r="G40" s="1953">
        <f t="shared" si="1"/>
        <v>0</v>
      </c>
      <c r="H40" s="1954"/>
      <c r="I40" s="909">
        <v>0.4</v>
      </c>
      <c r="J40" s="1945"/>
      <c r="K40" s="69"/>
      <c r="L40" s="1947"/>
      <c r="M40" s="1947"/>
      <c r="N40" s="1947"/>
      <c r="O40" s="1947"/>
      <c r="P40" s="935"/>
      <c r="Q40" s="935"/>
      <c r="R40" s="1039"/>
      <c r="S40" s="1039"/>
      <c r="T40" s="1039"/>
      <c r="U40" s="1039"/>
      <c r="V40" s="1039"/>
      <c r="W40" s="1039"/>
      <c r="X40" s="1039"/>
      <c r="Y40" s="1039"/>
    </row>
    <row r="41" spans="1:25" ht="17.399999999999999" hidden="1" customHeight="1">
      <c r="A41" s="4"/>
      <c r="B41" s="4"/>
      <c r="C41" s="4"/>
      <c r="D41" s="4"/>
      <c r="E41" s="4"/>
      <c r="F41" s="1616"/>
      <c r="G41" s="1953">
        <f t="shared" si="1"/>
        <v>0</v>
      </c>
      <c r="H41" s="1954"/>
      <c r="I41" s="909">
        <v>0.5</v>
      </c>
      <c r="J41" s="1945"/>
      <c r="K41" s="69"/>
      <c r="L41" s="1947"/>
      <c r="M41" s="1947"/>
      <c r="N41" s="1947"/>
      <c r="O41" s="1947"/>
      <c r="P41" s="935"/>
      <c r="Q41" s="935"/>
      <c r="R41" s="1039"/>
      <c r="S41" s="1039"/>
      <c r="T41" s="1039"/>
      <c r="U41" s="1039"/>
      <c r="V41" s="1039"/>
      <c r="W41" s="1039"/>
      <c r="X41" s="1039"/>
      <c r="Y41" s="1039"/>
    </row>
    <row r="42" spans="1:25" ht="17.399999999999999" hidden="1" customHeight="1">
      <c r="A42" s="4"/>
      <c r="B42" s="4"/>
      <c r="C42" s="4"/>
      <c r="D42" s="4"/>
      <c r="E42" s="4"/>
      <c r="F42" s="1616"/>
      <c r="G42" s="2007">
        <f t="shared" si="1"/>
        <v>0</v>
      </c>
      <c r="H42" s="2008"/>
      <c r="I42" s="910">
        <v>0.6</v>
      </c>
      <c r="J42" s="1946"/>
      <c r="K42" s="69"/>
      <c r="L42" s="1947"/>
      <c r="M42" s="1947"/>
      <c r="N42" s="1947"/>
      <c r="O42" s="1947"/>
      <c r="P42" s="935"/>
      <c r="Q42" s="935"/>
      <c r="R42" s="1039"/>
      <c r="S42" s="1039"/>
      <c r="T42" s="1039"/>
      <c r="U42" s="1039"/>
      <c r="V42" s="1039"/>
      <c r="W42" s="1039"/>
      <c r="X42" s="1039"/>
      <c r="Y42" s="1039"/>
    </row>
    <row r="43" spans="1:25" ht="17.399999999999999" hidden="1" customHeight="1">
      <c r="A43" s="4"/>
      <c r="B43" s="4"/>
      <c r="C43" s="4"/>
      <c r="D43" s="4"/>
      <c r="E43" s="4"/>
      <c r="F43" s="1616"/>
      <c r="G43" s="1997">
        <f t="shared" si="1"/>
        <v>0</v>
      </c>
      <c r="H43" s="1998"/>
      <c r="I43" s="908">
        <v>0.7</v>
      </c>
      <c r="J43" s="1944" t="str">
        <f>IF(R32=0,"Joint HC Units / Workforce Housing Units",IF(R32=1,"Housing Credit Units","?? Units"))</f>
        <v>Housing Credit Units</v>
      </c>
      <c r="K43" s="526"/>
      <c r="L43" s="1947"/>
      <c r="M43" s="1947"/>
      <c r="N43" s="1947"/>
      <c r="O43" s="1947"/>
      <c r="P43" s="935"/>
      <c r="Q43" s="935"/>
      <c r="R43" s="1039"/>
      <c r="S43" s="1039"/>
      <c r="T43" s="1039"/>
      <c r="U43" s="1039"/>
      <c r="V43" s="1039"/>
      <c r="W43" s="1039"/>
      <c r="X43" s="1039"/>
      <c r="Y43" s="1039"/>
    </row>
    <row r="44" spans="1:25" ht="17.399999999999999" hidden="1" customHeight="1" thickBot="1">
      <c r="A44" s="4"/>
      <c r="B44" s="4"/>
      <c r="C44" s="4"/>
      <c r="D44" s="4"/>
      <c r="E44" s="4"/>
      <c r="F44" s="1617"/>
      <c r="G44" s="1959">
        <f t="shared" si="1"/>
        <v>0</v>
      </c>
      <c r="H44" s="1960"/>
      <c r="I44" s="912">
        <v>0.8</v>
      </c>
      <c r="J44" s="1945"/>
      <c r="K44" s="526"/>
      <c r="L44" s="1947"/>
      <c r="M44" s="1947"/>
      <c r="N44" s="1947"/>
      <c r="O44" s="1947"/>
      <c r="P44" s="935"/>
      <c r="Q44" s="935"/>
      <c r="R44" s="1039"/>
      <c r="S44" s="1039"/>
      <c r="T44" s="1039"/>
      <c r="U44" s="1039"/>
      <c r="V44" s="1039"/>
      <c r="W44" s="1039"/>
      <c r="X44" s="1039"/>
      <c r="Y44" s="1039"/>
    </row>
    <row r="45" spans="1:25" ht="45" hidden="1" customHeight="1" thickBot="1">
      <c r="A45" s="4"/>
      <c r="B45" s="4"/>
      <c r="C45" s="4"/>
      <c r="D45" s="4"/>
      <c r="E45" s="4"/>
      <c r="F45" s="1016">
        <f>IF(SUM(F38:F44)=0,0,MAX(0,Total_Units-total_HC_units_avg_inc))</f>
        <v>0</v>
      </c>
      <c r="G45" s="1991">
        <f t="shared" si="1"/>
        <v>0</v>
      </c>
      <c r="H45" s="1992"/>
      <c r="I45" s="911" t="str">
        <f>IF(R32=0,"Above 80% AMI and up to 120% AMI",IF(R32=1,"Above 80%","??"))</f>
        <v>Above 80%</v>
      </c>
      <c r="J45" s="902" t="str">
        <f>IF(R32=0,"Workforce",IF(R32=1,"Market Rate","??"))&amp;" Housing Units"</f>
        <v>Market Rate Housing Units</v>
      </c>
      <c r="K45" s="70"/>
      <c r="L45" s="1947"/>
      <c r="M45" s="1947"/>
      <c r="N45" s="1947"/>
      <c r="O45" s="1947"/>
      <c r="P45" s="935"/>
      <c r="Q45" s="935"/>
      <c r="R45" s="1039"/>
      <c r="S45" s="1039"/>
      <c r="T45" s="1039"/>
      <c r="U45" s="1039"/>
      <c r="V45" s="935"/>
    </row>
    <row r="46" spans="1:25" ht="29.1" hidden="1" customHeight="1" thickBot="1">
      <c r="A46" s="4"/>
      <c r="B46" s="4"/>
      <c r="C46" s="4"/>
      <c r="D46" s="4"/>
      <c r="E46" s="4"/>
      <c r="F46" s="903">
        <f>SUM(F38:F44)</f>
        <v>0</v>
      </c>
      <c r="G46" s="1948">
        <f>IF(OR(Total_Units=0,F46=0),0,F46/Total_Units)</f>
        <v>0</v>
      </c>
      <c r="H46" s="1949"/>
      <c r="I46" s="896"/>
      <c r="J46" s="904" t="s">
        <v>347</v>
      </c>
      <c r="K46" s="525"/>
      <c r="L46" s="1947"/>
      <c r="M46" s="1947"/>
      <c r="N46" s="1947"/>
      <c r="O46" s="1947"/>
      <c r="P46" s="801"/>
      <c r="Q46" s="801"/>
      <c r="R46" s="801"/>
    </row>
    <row r="47" spans="1:25" ht="18" hidden="1" customHeight="1" thickTop="1" thickBot="1">
      <c r="A47" s="4"/>
      <c r="B47" s="4"/>
      <c r="C47" s="4"/>
      <c r="D47" s="4"/>
      <c r="E47" s="4"/>
      <c r="F47" s="905">
        <f>SUM(F38:F45)</f>
        <v>0</v>
      </c>
      <c r="G47" s="1933">
        <f>SUM(G38:G45)</f>
        <v>0</v>
      </c>
      <c r="H47" s="1934"/>
      <c r="I47" s="914"/>
      <c r="J47" s="906" t="s">
        <v>816</v>
      </c>
      <c r="K47" s="525"/>
      <c r="L47" s="51"/>
    </row>
    <row r="48" spans="1:25" s="45" customFormat="1" ht="29.1" hidden="1" customHeight="1">
      <c r="A48" s="3"/>
      <c r="B48" s="3"/>
      <c r="C48" s="3"/>
      <c r="D48" s="3"/>
      <c r="E48" s="3"/>
      <c r="F48" s="897"/>
      <c r="G48" s="898"/>
      <c r="H48" s="899"/>
      <c r="I48" s="900">
        <f>IF($F46=0,0,SUMPRODUCT(I38:I44,F38:F44)/total_HC_units_avg_inc)</f>
        <v>0</v>
      </c>
      <c r="J48" s="901" t="s">
        <v>348</v>
      </c>
      <c r="K48" s="525"/>
      <c r="L48" s="1829" t="str">
        <f>IF(OR(Minimum_SetAside_per_Sec_42="&lt;select one&gt;",Minimum_SetAside_per_Sec_42&lt;&gt;"Average Income Test"),"",IF(total_HC_units_avg_inc+Workforce_Avg_Income_Units=Total_Units,"The total number of units calculated here matches the total number of units stated at 6.a.","Attention:  The total number of units calculated here does not match the total number of units stated at 6.a."))</f>
        <v/>
      </c>
      <c r="M48" s="1829"/>
      <c r="N48" s="1829"/>
      <c r="O48" s="1829"/>
      <c r="P48" s="91"/>
      <c r="Q48" s="91"/>
    </row>
    <row r="49" spans="1:18" s="45" customFormat="1" ht="10.35" hidden="1" customHeight="1">
      <c r="A49" s="3"/>
      <c r="B49" s="3"/>
      <c r="C49" s="3"/>
      <c r="D49" s="3"/>
      <c r="E49" s="3"/>
      <c r="F49" s="52"/>
      <c r="G49" s="53"/>
      <c r="H49" s="54"/>
      <c r="I49" s="54"/>
      <c r="J49" s="3"/>
      <c r="K49" s="3"/>
      <c r="L49" s="1829"/>
      <c r="M49" s="1829"/>
      <c r="N49" s="1829"/>
      <c r="O49" s="1829"/>
      <c r="P49" s="91"/>
      <c r="Q49" s="91"/>
    </row>
    <row r="50" spans="1:18" ht="60.6" hidden="1" customHeight="1">
      <c r="A50" s="4"/>
      <c r="B50" s="4"/>
      <c r="C50" s="4"/>
      <c r="D50" s="1829" t="s">
        <v>349</v>
      </c>
      <c r="E50" s="1829"/>
      <c r="F50" s="1829"/>
      <c r="G50" s="1829"/>
      <c r="H50" s="1829"/>
      <c r="I50" s="1829"/>
      <c r="J50" s="1829"/>
      <c r="K50" s="500"/>
    </row>
    <row r="51" spans="1:18" ht="10.35" hidden="1" customHeight="1">
      <c r="A51" s="4"/>
      <c r="B51" s="4"/>
      <c r="C51" s="4"/>
      <c r="D51" s="159"/>
      <c r="E51" s="159"/>
      <c r="F51" s="159"/>
      <c r="G51" s="159"/>
      <c r="H51" s="159"/>
      <c r="I51" s="159"/>
      <c r="J51" s="159"/>
      <c r="K51" s="500"/>
    </row>
    <row r="52" spans="1:18" ht="30" hidden="1" customHeight="1">
      <c r="A52" s="4"/>
      <c r="B52" s="4"/>
      <c r="C52" s="792" t="str" cm="1">
        <f t="array" ref="C52">IF($R52=0,"",CHAR(CODE(LOOKUP(2,1/(COUNTIF(C$18:C51,"&gt;"&amp;C$18:C51&amp;"*")=0),C$18:C51))+1))</f>
        <v/>
      </c>
      <c r="D52" s="1829" t="s">
        <v>1323</v>
      </c>
      <c r="E52" s="1829"/>
      <c r="F52" s="1829"/>
      <c r="G52" s="1829"/>
      <c r="H52" s="1829"/>
      <c r="I52" s="1829"/>
      <c r="J52" s="1829"/>
      <c r="K52" s="765"/>
      <c r="R52" s="576">
        <v>0</v>
      </c>
    </row>
    <row r="53" spans="1:18" ht="10.35" hidden="1" customHeight="1" thickBot="1">
      <c r="A53" s="4"/>
      <c r="B53" s="4"/>
      <c r="C53" s="4"/>
      <c r="D53" s="765"/>
      <c r="E53" s="765"/>
      <c r="F53" s="765"/>
      <c r="G53" s="765"/>
      <c r="H53" s="765"/>
      <c r="I53" s="765"/>
      <c r="J53" s="765"/>
      <c r="K53" s="765"/>
    </row>
    <row r="54" spans="1:18" ht="44.1" hidden="1" customHeight="1">
      <c r="A54" s="4"/>
      <c r="B54" s="4"/>
      <c r="C54" s="4"/>
      <c r="D54" s="765"/>
      <c r="E54" s="765"/>
      <c r="F54" s="957" t="s">
        <v>342</v>
      </c>
      <c r="G54" s="1940" t="s">
        <v>343</v>
      </c>
      <c r="H54" s="1941"/>
      <c r="I54" s="919" t="s">
        <v>344</v>
      </c>
      <c r="J54" s="958" t="s">
        <v>345</v>
      </c>
      <c r="K54" s="765"/>
    </row>
    <row r="55" spans="1:18" ht="17.399999999999999" hidden="1" customHeight="1">
      <c r="A55" s="4"/>
      <c r="B55" s="4"/>
      <c r="C55" s="4"/>
      <c r="D55" s="765"/>
      <c r="E55" s="765"/>
      <c r="F55" s="922"/>
      <c r="G55" s="1983"/>
      <c r="H55" s="1984"/>
      <c r="I55" s="923">
        <v>0.25</v>
      </c>
      <c r="J55" s="1938" t="s">
        <v>1324</v>
      </c>
      <c r="K55" s="765"/>
    </row>
    <row r="56" spans="1:18" ht="17.399999999999999" hidden="1" customHeight="1">
      <c r="A56" s="4"/>
      <c r="B56" s="4"/>
      <c r="C56" s="4"/>
      <c r="D56" s="765"/>
      <c r="E56" s="765"/>
      <c r="F56" s="924"/>
      <c r="G56" s="1985"/>
      <c r="H56" s="1986"/>
      <c r="I56" s="925">
        <v>0.28000000000000003</v>
      </c>
      <c r="J56" s="1939"/>
      <c r="K56" s="765"/>
    </row>
    <row r="57" spans="1:18" ht="17.399999999999999" hidden="1" customHeight="1">
      <c r="A57" s="4"/>
      <c r="B57" s="4"/>
      <c r="C57" s="4"/>
      <c r="D57" s="765"/>
      <c r="E57" s="765"/>
      <c r="F57" s="924"/>
      <c r="G57" s="1987"/>
      <c r="H57" s="1988"/>
      <c r="I57" s="925">
        <v>0.3</v>
      </c>
      <c r="J57" s="1939"/>
      <c r="K57" s="765"/>
    </row>
    <row r="58" spans="1:18" ht="17.399999999999999" hidden="1" customHeight="1">
      <c r="A58" s="4"/>
      <c r="B58" s="4"/>
      <c r="C58" s="4"/>
      <c r="D58" s="765"/>
      <c r="E58" s="765"/>
      <c r="F58" s="924"/>
      <c r="G58" s="1987"/>
      <c r="H58" s="1988"/>
      <c r="I58" s="925">
        <v>0.33</v>
      </c>
      <c r="J58" s="1939"/>
      <c r="K58" s="765"/>
    </row>
    <row r="59" spans="1:18" ht="17.399999999999999" hidden="1" customHeight="1">
      <c r="A59" s="4"/>
      <c r="B59" s="4"/>
      <c r="C59" s="4"/>
      <c r="D59" s="765"/>
      <c r="E59" s="765"/>
      <c r="F59" s="924"/>
      <c r="G59" s="1987"/>
      <c r="H59" s="1988"/>
      <c r="I59" s="925">
        <v>0.35</v>
      </c>
      <c r="J59" s="1939"/>
      <c r="K59" s="765"/>
    </row>
    <row r="60" spans="1:18" ht="17.399999999999999" hidden="1" customHeight="1">
      <c r="A60" s="4"/>
      <c r="B60" s="4"/>
      <c r="C60" s="4"/>
      <c r="D60" s="765"/>
      <c r="E60" s="765"/>
      <c r="F60" s="924"/>
      <c r="G60" s="1987"/>
      <c r="H60" s="1988"/>
      <c r="I60" s="925">
        <v>0.4</v>
      </c>
      <c r="J60" s="1939"/>
      <c r="K60" s="765"/>
    </row>
    <row r="61" spans="1:18" ht="17.399999999999999" hidden="1" customHeight="1">
      <c r="A61" s="4"/>
      <c r="B61" s="4"/>
      <c r="C61" s="4"/>
      <c r="D61" s="765"/>
      <c r="E61" s="765"/>
      <c r="F61" s="924"/>
      <c r="G61" s="1987"/>
      <c r="H61" s="1988"/>
      <c r="I61" s="925">
        <v>0.45</v>
      </c>
      <c r="J61" s="1939"/>
      <c r="K61" s="765"/>
    </row>
    <row r="62" spans="1:18" ht="17.399999999999999" hidden="1" customHeight="1">
      <c r="A62" s="4"/>
      <c r="B62" s="4"/>
      <c r="C62" s="4"/>
      <c r="D62" s="765"/>
      <c r="E62" s="765"/>
      <c r="F62" s="921" t="str">
        <f>IF(ROUNDUP(SUM(G55:G62)*Total_Units,0)-SUM(F55:F61)=0,"",ROUNDUP(SUM(G55:G62)*Total_Units,0)-SUM(F55:F61))</f>
        <v/>
      </c>
      <c r="G62" s="1925" t="str">
        <f>IF(LEFT(Minimum_SetAside_per_Sec_42,3)="20%",20%,"")</f>
        <v/>
      </c>
      <c r="H62" s="1926"/>
      <c r="I62" s="909">
        <v>0.5</v>
      </c>
      <c r="J62" s="1939"/>
      <c r="K62" s="765"/>
    </row>
    <row r="63" spans="1:18" ht="17.399999999999999" hidden="1" customHeight="1" thickBot="1">
      <c r="A63" s="4"/>
      <c r="B63" s="4"/>
      <c r="C63" s="4"/>
      <c r="D63" s="765"/>
      <c r="E63" s="765"/>
      <c r="F63" s="1007" t="str">
        <f>IF(ROUNDUP(SUM(G55:G63)*Total_Units,0)-SUM(F55:F62)=0,"",ROUNDUP(SUM(G55:G63)*Total_Units,0)-SUM(F55:F62))</f>
        <v/>
      </c>
      <c r="G63" s="1927">
        <f>IF(LEFT(Minimum_SetAside_per_Sec_42,3)="20%","",40%)</f>
        <v>0.4</v>
      </c>
      <c r="H63" s="1928"/>
      <c r="I63" s="910">
        <v>0.6</v>
      </c>
      <c r="J63" s="1939"/>
      <c r="K63" s="765"/>
      <c r="L63" s="996"/>
      <c r="M63" s="996"/>
      <c r="N63" s="996"/>
      <c r="O63" s="996"/>
    </row>
    <row r="64" spans="1:18" ht="17.399999999999999" hidden="1" customHeight="1" thickBot="1">
      <c r="A64" s="4"/>
      <c r="B64" s="4"/>
      <c r="C64" s="4"/>
      <c r="D64" s="765"/>
      <c r="E64" s="765"/>
      <c r="F64" s="1008">
        <f>MAX(0,Total_Units-SUM(F55:F63))</f>
        <v>0</v>
      </c>
      <c r="G64" s="1989">
        <f>1-SUM(G55:G63)</f>
        <v>0.6</v>
      </c>
      <c r="H64" s="1990"/>
      <c r="I64" s="1013"/>
      <c r="J64" s="1009" t="s">
        <v>1429</v>
      </c>
      <c r="K64" s="765"/>
      <c r="L64" s="1054"/>
      <c r="M64" s="1054"/>
      <c r="N64" s="1054"/>
      <c r="O64" s="1054"/>
    </row>
    <row r="65" spans="1:18" ht="17.399999999999999" hidden="1" customHeight="1" thickBot="1">
      <c r="A65" s="4"/>
      <c r="B65" s="4"/>
      <c r="C65" s="4"/>
      <c r="D65" s="891"/>
      <c r="E65" s="891"/>
      <c r="F65" s="903">
        <f>SUM(F55:F63)</f>
        <v>0</v>
      </c>
      <c r="G65" s="1929">
        <f>SUM(G55:G63)</f>
        <v>0.4</v>
      </c>
      <c r="H65" s="1930"/>
      <c r="I65" s="1015"/>
      <c r="J65" s="1010" t="s">
        <v>1502</v>
      </c>
      <c r="K65" s="891"/>
      <c r="L65" s="1054"/>
      <c r="M65" s="1054"/>
      <c r="N65" s="1054"/>
      <c r="O65" s="1054"/>
    </row>
    <row r="66" spans="1:18" ht="17.399999999999999" hidden="1" customHeight="1" thickTop="1">
      <c r="A66" s="4"/>
      <c r="B66" s="4"/>
      <c r="C66" s="4"/>
      <c r="D66" s="891"/>
      <c r="E66" s="891"/>
      <c r="F66" s="1012">
        <f>F64+F65</f>
        <v>0</v>
      </c>
      <c r="G66" s="1931">
        <f>G64+G65</f>
        <v>1</v>
      </c>
      <c r="H66" s="1932"/>
      <c r="I66" s="1014"/>
      <c r="J66" s="1011" t="s">
        <v>816</v>
      </c>
      <c r="K66" s="891"/>
      <c r="L66" s="1054"/>
      <c r="M66" s="1054"/>
      <c r="N66" s="1054"/>
      <c r="O66" s="1054"/>
    </row>
    <row r="67" spans="1:18" ht="10.35" hidden="1" customHeight="1">
      <c r="A67" s="4"/>
      <c r="B67" s="4"/>
      <c r="C67" s="4"/>
      <c r="D67" s="765"/>
      <c r="E67" s="765"/>
      <c r="F67" s="765"/>
      <c r="G67" s="765"/>
      <c r="H67" s="765"/>
      <c r="I67" s="765"/>
      <c r="J67" s="765"/>
      <c r="K67" s="765"/>
      <c r="M67" s="1054"/>
      <c r="N67" s="1054"/>
      <c r="O67" s="1054"/>
    </row>
    <row r="68" spans="1:18" ht="14.4" hidden="1" customHeight="1">
      <c r="A68" s="4"/>
      <c r="B68" s="4"/>
      <c r="C68" s="4"/>
      <c r="D68" s="1051"/>
      <c r="E68" s="1051"/>
      <c r="F68" s="1051"/>
      <c r="G68" s="1051"/>
      <c r="H68" s="1051"/>
      <c r="I68" s="1051"/>
      <c r="J68" s="1051"/>
      <c r="K68" s="1051"/>
      <c r="L68" s="1744" t="str">
        <f>IF(R70=0,"",IF(County="&lt;select one&gt;","Applicant needs to identify the County the proposed Development is located.","The following statements are evaluating the units entered in rows with AMIs of "&amp;TEXT(DS_Gap_AMI_Max,"0%")&amp;" or less, which totals "&amp;TEXT(SUMIF(I73:I84,"&lt;="&amp;DS_Gap_AMI_Max,G73:G84),"0%")&amp;". "&amp;DS_Comment_Total_Units_Gap&amp;DS_Comment_Min_Gap_SA&amp;DS_Comment_Max_Gap_SA&amp;DS_Comment_Min_Gap_ELI_SA&amp;DS_Comment_Min_Gap_LowerAMI_SA))</f>
        <v/>
      </c>
      <c r="M68" s="1744"/>
      <c r="N68" s="1744"/>
      <c r="O68" s="1744"/>
    </row>
    <row r="69" spans="1:18" ht="14.4" hidden="1" customHeight="1">
      <c r="A69" s="4"/>
      <c r="B69" s="4"/>
      <c r="C69" s="4"/>
      <c r="D69" s="1051"/>
      <c r="E69" s="1051"/>
      <c r="F69" s="1051"/>
      <c r="G69" s="1051"/>
      <c r="H69" s="1051"/>
      <c r="I69" s="1051"/>
      <c r="J69" s="1051"/>
      <c r="K69" s="1051"/>
      <c r="L69" s="1744"/>
      <c r="M69" s="1744"/>
      <c r="N69" s="1744"/>
      <c r="O69" s="1744"/>
    </row>
    <row r="70" spans="1:18" ht="30" hidden="1" customHeight="1">
      <c r="A70" s="4"/>
      <c r="B70" s="4"/>
      <c r="C70" s="792" t="str" cm="1">
        <f t="array" ref="C70">IF($R70=0,"",CHAR(CODE(LOOKUP(2,1/(COUNTIF(C$18:C67,"&gt;"&amp;C$18:C67&amp;"*")=0),C$18:C67))+1))</f>
        <v/>
      </c>
      <c r="D70" s="1829" t="str">
        <f>"Applicants requesting "&amp;DS_Gap_Name&amp;" Funding along with "&amp;IF(Funding!K125+Funding!K127&gt;0,"Housing Credits",Data1!B356)&amp;" must complete the following "&amp;DS_Gap_Name&amp;" Set-Aside Commitment chart:"</f>
        <v>Applicants requesting SAIL Funding along with HOME-ARP must complete the following SAIL Set-Aside Commitment chart:</v>
      </c>
      <c r="E70" s="1829"/>
      <c r="F70" s="1829"/>
      <c r="G70" s="1829"/>
      <c r="H70" s="1829"/>
      <c r="I70" s="1829"/>
      <c r="J70" s="1829"/>
      <c r="K70" s="748"/>
      <c r="L70" s="1744"/>
      <c r="M70" s="1744"/>
      <c r="N70" s="1744"/>
      <c r="O70" s="1744"/>
      <c r="P70" s="956"/>
      <c r="Q70" s="956"/>
      <c r="R70" s="576">
        <v>0</v>
      </c>
    </row>
    <row r="71" spans="1:18" ht="10.35" hidden="1" customHeight="1" thickBot="1">
      <c r="A71" s="4"/>
      <c r="B71" s="4"/>
      <c r="C71" s="4"/>
      <c r="D71" s="748"/>
      <c r="E71" s="748"/>
      <c r="F71" s="748"/>
      <c r="G71" s="748"/>
      <c r="H71" s="748"/>
      <c r="I71" s="748"/>
      <c r="J71" s="748"/>
      <c r="K71" s="748"/>
      <c r="L71" s="1744"/>
      <c r="M71" s="1744"/>
      <c r="N71" s="1744"/>
      <c r="O71" s="1744"/>
      <c r="P71" s="956"/>
      <c r="Q71" s="956"/>
    </row>
    <row r="72" spans="1:18" ht="44.1" hidden="1" customHeight="1">
      <c r="A72" s="4"/>
      <c r="B72" s="4"/>
      <c r="C72" s="4"/>
      <c r="D72" s="748"/>
      <c r="E72" s="748"/>
      <c r="F72" s="957" t="s">
        <v>342</v>
      </c>
      <c r="G72" s="1940" t="s">
        <v>343</v>
      </c>
      <c r="H72" s="1941"/>
      <c r="I72" s="919" t="s">
        <v>344</v>
      </c>
      <c r="J72" s="958" t="s">
        <v>345</v>
      </c>
      <c r="K72" s="748"/>
      <c r="L72" s="1744"/>
      <c r="M72" s="1744"/>
      <c r="N72" s="1744"/>
      <c r="O72" s="1744"/>
      <c r="P72" s="956"/>
      <c r="Q72" s="956"/>
    </row>
    <row r="73" spans="1:18" ht="17.399999999999999" hidden="1" customHeight="1">
      <c r="A73" s="4"/>
      <c r="B73" s="4"/>
      <c r="C73" s="4"/>
      <c r="D73" s="748"/>
      <c r="E73" s="748"/>
      <c r="F73" s="920">
        <f>ROUNDUP(G$73*Total_Units,0)</f>
        <v>0</v>
      </c>
      <c r="G73" s="1923"/>
      <c r="H73" s="1924"/>
      <c r="I73" s="908">
        <v>0.25</v>
      </c>
      <c r="J73" s="2009" t="str">
        <f>RIGHT(LEFT(D70,FIND("Funding",D70)-2),FIND("Funding",D70)-2-22)&amp;" Units"</f>
        <v>SAIL Units</v>
      </c>
      <c r="K73" s="892"/>
      <c r="L73" s="1004" t="str">
        <f t="shared" ref="L73:L79" si="2">IF(Minimum_SetAside_per_Sec_42="&lt;select one&gt;","",IF(Minimum_SetAside_per_Sec_42="Average Income Test",IF(I73=30%,"&lt;= This is the ELI AMI Level for all Transactions choosing Average Income Test.",""),IF(I73&lt;IFERROR(VLOOKUP(County,DS_CountyData,14),0),"",IF(I73=IFERROR(VLOOKUP(County,DS_CountyData,14),0),"&lt;= "&amp;County&amp;" County's designated ELI AMI Level is "&amp;TEXT(IFERROR(VLOOKUP(County,DS_CountyData,14),0),"0%")&amp;".",""))))</f>
        <v/>
      </c>
      <c r="M73" s="956"/>
      <c r="N73" s="956"/>
      <c r="O73" s="956"/>
      <c r="P73" s="956"/>
      <c r="Q73" s="956"/>
    </row>
    <row r="74" spans="1:18" ht="17.399999999999999" hidden="1" customHeight="1">
      <c r="A74" s="4"/>
      <c r="B74" s="4"/>
      <c r="C74" s="4"/>
      <c r="D74" s="748"/>
      <c r="E74" s="748"/>
      <c r="F74" s="921">
        <f>ROUNDUP(SUM(G$73:G74)*Total_Units,0)-SUM(F$73:F73)</f>
        <v>0</v>
      </c>
      <c r="G74" s="1942"/>
      <c r="H74" s="1943"/>
      <c r="I74" s="909">
        <v>0.28000000000000003</v>
      </c>
      <c r="J74" s="2010"/>
      <c r="K74" s="748"/>
      <c r="L74" s="1004" t="str">
        <f t="shared" si="2"/>
        <v/>
      </c>
      <c r="M74" s="956"/>
      <c r="N74" s="956"/>
      <c r="O74" s="1003"/>
      <c r="P74" s="956"/>
      <c r="Q74" s="956"/>
    </row>
    <row r="75" spans="1:18" ht="17.399999999999999" hidden="1" customHeight="1">
      <c r="A75" s="4"/>
      <c r="B75" s="4"/>
      <c r="C75" s="4"/>
      <c r="D75" s="748"/>
      <c r="E75" s="748"/>
      <c r="F75" s="921">
        <f>ROUNDUP(SUM(G$73:G75)*Total_Units,0)-SUM(F$73:F74)</f>
        <v>0</v>
      </c>
      <c r="G75" s="1919"/>
      <c r="H75" s="1920"/>
      <c r="I75" s="909">
        <v>0.3</v>
      </c>
      <c r="J75" s="2010"/>
      <c r="K75" s="748"/>
      <c r="L75" s="1004" t="str">
        <f t="shared" si="2"/>
        <v/>
      </c>
      <c r="M75" s="956"/>
      <c r="N75" s="956"/>
      <c r="O75" s="956"/>
      <c r="P75" s="956"/>
      <c r="Q75" s="956"/>
    </row>
    <row r="76" spans="1:18" ht="17.399999999999999" hidden="1" customHeight="1">
      <c r="A76" s="4"/>
      <c r="B76" s="4"/>
      <c r="C76" s="4"/>
      <c r="D76" s="748"/>
      <c r="E76" s="748"/>
      <c r="F76" s="921">
        <f>ROUNDUP(SUM(G$73:G76)*Total_Units,0)-SUM(F$73:F75)</f>
        <v>0</v>
      </c>
      <c r="G76" s="1919"/>
      <c r="H76" s="1920"/>
      <c r="I76" s="909">
        <v>0.33</v>
      </c>
      <c r="J76" s="2010"/>
      <c r="K76" s="748"/>
      <c r="L76" s="1004" t="str">
        <f t="shared" si="2"/>
        <v/>
      </c>
      <c r="M76" s="956"/>
      <c r="N76" s="956"/>
      <c r="O76" s="956"/>
      <c r="P76" s="956"/>
      <c r="Q76" s="956"/>
    </row>
    <row r="77" spans="1:18" ht="17.399999999999999" hidden="1" customHeight="1">
      <c r="A77" s="4"/>
      <c r="B77" s="4"/>
      <c r="C77" s="4"/>
      <c r="D77" s="748"/>
      <c r="E77" s="748"/>
      <c r="F77" s="921">
        <f>ROUNDUP(SUM(G$73:G77)*Total_Units,0)-SUM(F$73:F76)</f>
        <v>0</v>
      </c>
      <c r="G77" s="1919"/>
      <c r="H77" s="1920"/>
      <c r="I77" s="909">
        <v>0.35</v>
      </c>
      <c r="J77" s="2010"/>
      <c r="K77" s="748"/>
      <c r="L77" s="1004" t="str">
        <f t="shared" si="2"/>
        <v/>
      </c>
      <c r="M77" s="956"/>
      <c r="N77" s="956"/>
      <c r="O77" s="956"/>
      <c r="P77" s="956"/>
      <c r="Q77" s="956"/>
    </row>
    <row r="78" spans="1:18" ht="17.399999999999999" hidden="1" customHeight="1">
      <c r="A78" s="4"/>
      <c r="B78" s="4"/>
      <c r="C78" s="4"/>
      <c r="D78" s="748"/>
      <c r="E78" s="748"/>
      <c r="F78" s="921">
        <f>ROUNDUP(SUM(G$73:G78)*Total_Units,0)-SUM(F$73:F77)</f>
        <v>0</v>
      </c>
      <c r="G78" s="1919"/>
      <c r="H78" s="1920"/>
      <c r="I78" s="909">
        <v>0.4</v>
      </c>
      <c r="J78" s="2010"/>
      <c r="K78" s="748"/>
      <c r="L78" s="1004" t="str">
        <f t="shared" si="2"/>
        <v/>
      </c>
      <c r="M78" s="956"/>
      <c r="N78" s="956"/>
      <c r="O78" s="956"/>
      <c r="P78" s="956"/>
      <c r="Q78" s="956"/>
    </row>
    <row r="79" spans="1:18" ht="17.399999999999999" hidden="1" customHeight="1">
      <c r="A79" s="4"/>
      <c r="B79" s="4"/>
      <c r="C79" s="4"/>
      <c r="D79" s="748"/>
      <c r="E79" s="748"/>
      <c r="F79" s="921">
        <f>ROUNDUP(SUM(G$73:G79)*Total_Units,0)-SUM(F$73:F78)</f>
        <v>0</v>
      </c>
      <c r="G79" s="1919"/>
      <c r="H79" s="1920"/>
      <c r="I79" s="909">
        <v>0.45</v>
      </c>
      <c r="J79" s="2010"/>
      <c r="K79" s="748"/>
      <c r="L79" s="1004" t="str">
        <f t="shared" si="2"/>
        <v/>
      </c>
      <c r="M79" s="956"/>
      <c r="N79" s="956"/>
      <c r="O79" s="956"/>
      <c r="P79" s="956"/>
      <c r="Q79" s="956"/>
    </row>
    <row r="80" spans="1:18" ht="17.399999999999999" hidden="1" customHeight="1">
      <c r="A80" s="4"/>
      <c r="B80" s="4"/>
      <c r="C80" s="4"/>
      <c r="D80" s="748"/>
      <c r="E80" s="748"/>
      <c r="F80" s="921">
        <f>ROUNDUP(SUM(G$73:G80)*Total_Units,0)-SUM(F$73:F79)</f>
        <v>0</v>
      </c>
      <c r="G80" s="1919"/>
      <c r="H80" s="1920"/>
      <c r="I80" s="909">
        <v>0.5</v>
      </c>
      <c r="J80" s="2010"/>
      <c r="K80" s="748"/>
      <c r="L80" s="956"/>
      <c r="M80" s="956"/>
      <c r="N80" s="956"/>
      <c r="O80" s="956"/>
      <c r="P80" s="956"/>
      <c r="Q80" s="956"/>
    </row>
    <row r="81" spans="1:26" ht="17.399999999999999" hidden="1" customHeight="1">
      <c r="A81" s="4"/>
      <c r="B81" s="4"/>
      <c r="C81" s="4"/>
      <c r="D81" s="748"/>
      <c r="E81" s="748"/>
      <c r="F81" s="921">
        <f>ROUNDUP(SUM(G$73:G81)*Total_Units,0)-SUM(F$73:F80)</f>
        <v>0</v>
      </c>
      <c r="G81" s="1919"/>
      <c r="H81" s="1920"/>
      <c r="I81" s="909">
        <v>0.6</v>
      </c>
      <c r="J81" s="2010"/>
      <c r="K81" s="748"/>
      <c r="L81" s="956"/>
      <c r="M81" s="956"/>
      <c r="N81" s="956"/>
      <c r="O81" s="956"/>
      <c r="P81" s="956"/>
      <c r="Q81" s="956"/>
    </row>
    <row r="82" spans="1:26" ht="17.399999999999999" hidden="1" customHeight="1">
      <c r="A82" s="4"/>
      <c r="B82" s="4"/>
      <c r="C82" s="4"/>
      <c r="D82" s="822"/>
      <c r="E82" s="822"/>
      <c r="F82" s="921" t="str">
        <f>IF(DS_Gap_AMI_Max&lt;I82,"",ROUNDUP(SUM(G$73:G82)*Total_Units,0)-SUM(F$73:F81))</f>
        <v/>
      </c>
      <c r="G82" s="1919"/>
      <c r="H82" s="1920"/>
      <c r="I82" s="910">
        <v>0.7</v>
      </c>
      <c r="J82" s="2010"/>
      <c r="K82" s="822"/>
      <c r="L82" s="956"/>
      <c r="M82" s="956"/>
      <c r="N82" s="956"/>
      <c r="O82" s="956"/>
      <c r="P82" s="956"/>
      <c r="Q82" s="956"/>
    </row>
    <row r="83" spans="1:26" ht="17.399999999999999" hidden="1" customHeight="1">
      <c r="A83" s="4"/>
      <c r="B83" s="4"/>
      <c r="C83" s="4"/>
      <c r="D83" s="822"/>
      <c r="E83" s="822"/>
      <c r="F83" s="921" t="str">
        <f>IF(DS_Gap_AMI_Max&lt;I83,"",ROUNDUP(SUM(G$73:G83)*Total_Units,0)-SUM(F$73:F82))</f>
        <v/>
      </c>
      <c r="G83" s="1919"/>
      <c r="H83" s="1920"/>
      <c r="I83" s="930">
        <v>0.8</v>
      </c>
      <c r="J83" s="2010"/>
      <c r="K83" s="822"/>
      <c r="L83" s="956"/>
      <c r="M83" s="956"/>
      <c r="N83" s="956"/>
      <c r="O83" s="956"/>
      <c r="P83" s="956"/>
      <c r="Q83" s="956"/>
    </row>
    <row r="84" spans="1:26" ht="17.399999999999999" hidden="1" customHeight="1" thickBot="1">
      <c r="A84" s="4"/>
      <c r="B84" s="4"/>
      <c r="C84" s="4"/>
      <c r="D84" s="822"/>
      <c r="E84" s="822"/>
      <c r="F84" s="1005" t="str">
        <f>IF(DS_Gap_AMI_Max&lt;I84,"",ROUNDUP(SUM(G$73:G84)*Total_Units,0)-SUM(F$73:F83))</f>
        <v/>
      </c>
      <c r="G84" s="1921"/>
      <c r="H84" s="1922"/>
      <c r="I84" s="912">
        <v>1.2</v>
      </c>
      <c r="J84" s="2010"/>
      <c r="K84" s="822"/>
      <c r="L84" s="956"/>
      <c r="M84" s="956"/>
      <c r="N84" s="956"/>
      <c r="O84" s="956"/>
      <c r="P84" s="956"/>
      <c r="Q84" s="956"/>
    </row>
    <row r="85" spans="1:26" ht="17.399999999999999" hidden="1" customHeight="1" thickBot="1">
      <c r="A85" s="4"/>
      <c r="B85" s="4"/>
      <c r="C85" s="4"/>
      <c r="D85" s="822"/>
      <c r="E85" s="822"/>
      <c r="F85" s="1006">
        <f>IF(SUM(G73:H84)=0,0,Total_Units-SUMIF(I73:I84,"&lt;="&amp;DS_Gap_AMI_Max,F73:F84))</f>
        <v>0</v>
      </c>
      <c r="G85" s="1955">
        <f>1-SUMIF(I73:I84,"&lt;="&amp;DS_Gap_AMI_Max,G73:G84)</f>
        <v>1</v>
      </c>
      <c r="H85" s="1956"/>
      <c r="I85" s="929"/>
      <c r="J85" s="926" t="s">
        <v>1429</v>
      </c>
      <c r="K85" s="822"/>
      <c r="M85" s="45"/>
      <c r="N85" s="45"/>
    </row>
    <row r="86" spans="1:26" ht="17.399999999999999" hidden="1" customHeight="1" thickBot="1">
      <c r="A86" s="4"/>
      <c r="B86" s="4"/>
      <c r="C86" s="4"/>
      <c r="D86" s="822"/>
      <c r="E86" s="822"/>
      <c r="F86" s="927">
        <f>SUMIF(I73:I84,"&lt;="&amp;DS_Gap_AMI_Max,F73:F84)</f>
        <v>0</v>
      </c>
      <c r="G86" s="2005">
        <f>SUMIF(I73:I84,"&lt;="&amp;DS_Gap_AMI_Max,G73:G84)</f>
        <v>0</v>
      </c>
      <c r="H86" s="2006"/>
      <c r="I86" s="895"/>
      <c r="J86" s="928" t="str">
        <f>"Total "&amp;RIGHT(LEFT(D70,FIND("Funding",D70)-2),FIND("Funding",D70)-2-22)&amp;" Units"</f>
        <v>Total SAIL Units</v>
      </c>
      <c r="K86" s="822"/>
      <c r="L86" s="571"/>
    </row>
    <row r="87" spans="1:26" ht="17.399999999999999" hidden="1" customHeight="1" thickTop="1" thickBot="1">
      <c r="A87" s="4"/>
      <c r="B87" s="4"/>
      <c r="C87" s="4"/>
      <c r="D87" s="748"/>
      <c r="E87" s="748"/>
      <c r="F87" s="913">
        <f>SUM(F$73:F85)</f>
        <v>0</v>
      </c>
      <c r="G87" s="1935">
        <f>G85+G86</f>
        <v>1</v>
      </c>
      <c r="H87" s="1936"/>
      <c r="I87" s="914"/>
      <c r="J87" s="915" t="s">
        <v>816</v>
      </c>
      <c r="K87" s="748"/>
    </row>
    <row r="88" spans="1:26" ht="10.35" hidden="1" customHeight="1">
      <c r="A88" s="4"/>
      <c r="B88" s="4"/>
      <c r="C88" s="4"/>
      <c r="D88" s="748"/>
      <c r="E88" s="748"/>
      <c r="F88" s="748"/>
      <c r="G88" s="748"/>
      <c r="H88" s="748"/>
      <c r="I88" s="748"/>
      <c r="J88" s="748"/>
      <c r="K88" s="748"/>
    </row>
    <row r="89" spans="1:26">
      <c r="A89" s="633" t="str" cm="1">
        <f t="array" ref="A89">CHAR(CODE(LOOKUP(2,1/(COUNTIF(A$3:A67,"&gt;"&amp;A$3:A67&amp;"*")=0),A$3:A67))+1)</f>
        <v>d</v>
      </c>
      <c r="B89" s="1967" t="s">
        <v>350</v>
      </c>
      <c r="C89" s="1967"/>
      <c r="D89" s="1967"/>
      <c r="E89" s="1967"/>
      <c r="F89" s="1967"/>
      <c r="G89" s="1967"/>
      <c r="H89" s="1967"/>
      <c r="I89" s="1967"/>
      <c r="J89" s="1967"/>
      <c r="K89" s="501"/>
      <c r="L89" s="590"/>
      <c r="P89" s="588">
        <v>1</v>
      </c>
      <c r="Q89" s="390">
        <f>IF(AND(P89&lt;&gt;0,Total_Units&lt;&gt;0,H111=Total_Units,J111=H122,Zero_Bed_One_Bath_ELI_Units=K94,One_Bed_One_Bath_ELI_Units=K95,SUM(J96:J98)=K96,SUM(J99:J103)=K99,SUM(J104:J110)=K104),P89,0)</f>
        <v>0</v>
      </c>
      <c r="R89" s="648" t="str">
        <f>CHOOSE(P89+1,"Not to be included in this RFA","A REQUIRED input field for this RFA","An OPTIONAL input field for this RFA")</f>
        <v>A REQUIRED input field for this RFA</v>
      </c>
      <c r="S89" s="42" t="s">
        <v>1989</v>
      </c>
    </row>
    <row r="90" spans="1:26">
      <c r="A90" s="4"/>
      <c r="B90" s="4" t="s">
        <v>351</v>
      </c>
      <c r="C90" s="4"/>
      <c r="D90" s="4"/>
      <c r="E90" s="4"/>
      <c r="F90" s="4"/>
      <c r="G90" s="4"/>
      <c r="H90" s="4"/>
      <c r="I90" s="4"/>
    </row>
    <row r="91" spans="1:26" ht="10.35" customHeight="1">
      <c r="A91" s="4"/>
      <c r="B91" s="7"/>
      <c r="C91" s="7"/>
      <c r="D91" s="7"/>
      <c r="E91" s="4"/>
      <c r="F91" s="4"/>
      <c r="G91" s="4"/>
      <c r="H91" s="4"/>
      <c r="I91" s="4"/>
      <c r="J91" s="4"/>
      <c r="K91" s="4"/>
    </row>
    <row r="92" spans="1:26" ht="31.5" customHeight="1">
      <c r="A92" s="4"/>
      <c r="B92" s="7"/>
      <c r="C92" s="7"/>
      <c r="D92" s="7"/>
      <c r="E92" s="4"/>
      <c r="F92" s="1993" t="s">
        <v>352</v>
      </c>
      <c r="G92" s="1994"/>
      <c r="H92" s="1993" t="s">
        <v>353</v>
      </c>
      <c r="I92" s="1994"/>
      <c r="J92" s="1961" t="s">
        <v>2146</v>
      </c>
      <c r="K92" s="1961" t="s">
        <v>1934</v>
      </c>
      <c r="L92" s="1458" t="str">
        <f>IF(Demographic="&lt;select one&gt;","","Demographic: "&amp;Demographic)&amp;IF(Development_Category="&lt;select one&gt;","",IF(Demographic&lt;&gt;"&lt;select one&gt;","; ","")&amp;"Development Category: "&amp;Development_Category)</f>
        <v>Demographic: Persons with Special Needs; Development Category: New Construction</v>
      </c>
    </row>
    <row r="93" spans="1:26" ht="17.399999999999999" customHeight="1">
      <c r="A93" s="4"/>
      <c r="B93" s="7"/>
      <c r="C93" s="7"/>
      <c r="D93" s="7"/>
      <c r="E93" s="4"/>
      <c r="F93" s="1995"/>
      <c r="G93" s="1996"/>
      <c r="H93" s="1995"/>
      <c r="I93" s="1996"/>
      <c r="J93" s="1962"/>
      <c r="K93" s="1962"/>
      <c r="L93" s="1977"/>
      <c r="M93" s="1848"/>
      <c r="N93" s="1848"/>
      <c r="O93" s="1848"/>
      <c r="P93" s="1848"/>
      <c r="Q93" s="1848"/>
      <c r="R93" s="1848"/>
    </row>
    <row r="94" spans="1:26" ht="35.1" customHeight="1">
      <c r="A94" s="4"/>
      <c r="B94" s="7"/>
      <c r="C94" s="7"/>
      <c r="D94" s="7"/>
      <c r="E94" s="4"/>
      <c r="F94" s="1965" t="s">
        <v>354</v>
      </c>
      <c r="G94" s="1965"/>
      <c r="H94" s="1969"/>
      <c r="I94" s="1970"/>
      <c r="J94" s="586">
        <f>K94</f>
        <v>0</v>
      </c>
      <c r="K94" s="586">
        <f>H116</f>
        <v>0</v>
      </c>
      <c r="L94" s="1977" t="str">
        <f>IF(OR(Demographic="&lt;select one&gt;",Development_Category="&lt;select one&gt;"),"",IF(Demographic="Elderly Non-ALF",IF(OR(Development_Category="Rehabilitation",Development_Category="Acquisition and Rehabilitation"),Data1!$G$411,IF(OR(Development_Category="New Construction",Development_Category="Redevelopment",Development_Category="Acquisition and Redevelopment"),Data1!$G$413,"The Development Category selected does not have a minimum for 0 and 1 bedroom units for the selected Demographic Commitment.")),IF(Demographic="Elderly ALF",Data1!$G$415,IF(Demographic="Family",Data1!$G$416,IF(Demographic="Homeless",Data1!$G$417,IF(Demographic="Farmworker/Commercial Fish Worker",Data1!$G$421,IF(OR(Demographic="Persons with a Disabiling Condition",Demographic="Persons with Developmental Disabilities"),Data1!$G$423,IF(Demographic="Persons with Special Needs",Data1!$G$426,""))))))))</f>
        <v/>
      </c>
      <c r="M94" s="1848"/>
      <c r="N94" s="1848"/>
      <c r="O94" s="1848"/>
      <c r="P94" s="91"/>
      <c r="Q94" s="91"/>
      <c r="R94" s="91"/>
      <c r="S94" s="591"/>
      <c r="T94" s="591"/>
      <c r="U94" s="45"/>
      <c r="V94" s="45"/>
      <c r="W94" s="45"/>
      <c r="X94" s="45"/>
      <c r="Y94" s="591"/>
      <c r="Z94" s="45"/>
    </row>
    <row r="95" spans="1:26" ht="35.1" customHeight="1">
      <c r="A95" s="4"/>
      <c r="B95" s="7"/>
      <c r="C95" s="7"/>
      <c r="D95" s="7"/>
      <c r="E95" s="4"/>
      <c r="F95" s="1965" t="s">
        <v>355</v>
      </c>
      <c r="G95" s="1965"/>
      <c r="H95" s="1971"/>
      <c r="I95" s="1971"/>
      <c r="J95" s="586">
        <f>K95</f>
        <v>0</v>
      </c>
      <c r="K95" s="586">
        <f>H117</f>
        <v>0</v>
      </c>
      <c r="L95" s="1977" t="str">
        <f>IF(OR(Demographic="&lt;select one&gt;",Development_Category="&lt;select one&gt;"),"",IF(Demographic="Elderly Non-ALF",IF(OR(Development_Category="Rehabilitation",Development_Category="Acquisition and Rehabilitation"),Data1!$G$411,IF(OR(Development_Category="New Construction",Development_Category="Redevelopment",Development_Category="Acquisition and Redevelopment"),Data1!$G$413,"The Development Category selected does not have a minimum for 0 and 1 bedroom units for the selected Demographic Commitment.")),IF(Demographic="Elderly ALF",Data1!$G$415,IF(Demographic="Family","",IF(Demographic="Homeless",Data1!$G$418,IF(Demographic="Farmworker/Commercial Fish Worker","",IF(OR(Demographic="Persons with a Disabiling Condition",Demographic="Persons with Developmental Disabilities"),Data1!$G$424,IF(Demographic="Persons with Special Needs",Data1!$G$426,""))))))))</f>
        <v/>
      </c>
      <c r="M95" s="1848"/>
      <c r="N95" s="1848"/>
      <c r="O95" s="1848"/>
      <c r="P95" s="91"/>
      <c r="Q95" s="91"/>
      <c r="R95" s="91"/>
      <c r="S95" s="591"/>
      <c r="T95" s="591"/>
      <c r="U95" s="45"/>
      <c r="V95" s="45"/>
      <c r="W95" s="45"/>
      <c r="X95" s="45"/>
      <c r="Y95" s="591"/>
      <c r="Z95" s="45"/>
    </row>
    <row r="96" spans="1:26" ht="17.399999999999999" customHeight="1">
      <c r="A96" s="4"/>
      <c r="B96" s="7"/>
      <c r="C96" s="7"/>
      <c r="D96" s="7"/>
      <c r="E96" s="4"/>
      <c r="F96" s="1966" t="s">
        <v>356</v>
      </c>
      <c r="G96" s="1966"/>
      <c r="H96" s="1972"/>
      <c r="I96" s="1972"/>
      <c r="J96" s="1455"/>
      <c r="K96" s="1978">
        <f>H118</f>
        <v>0</v>
      </c>
      <c r="S96" s="589"/>
      <c r="T96" s="589"/>
      <c r="U96" s="45"/>
      <c r="V96" s="45"/>
      <c r="W96" s="45"/>
      <c r="X96" s="45"/>
      <c r="Y96" s="589"/>
      <c r="Z96" s="45"/>
    </row>
    <row r="97" spans="1:26" ht="17.399999999999999" customHeight="1">
      <c r="A97" s="4"/>
      <c r="B97" s="7"/>
      <c r="C97" s="7"/>
      <c r="D97" s="7"/>
      <c r="E97" s="4"/>
      <c r="F97" s="1963" t="s">
        <v>357</v>
      </c>
      <c r="G97" s="1963"/>
      <c r="H97" s="1964"/>
      <c r="I97" s="1964"/>
      <c r="J97" s="1456"/>
      <c r="K97" s="1979"/>
      <c r="S97" s="589"/>
      <c r="T97" s="589"/>
      <c r="U97" s="45"/>
      <c r="V97" s="45"/>
      <c r="W97" s="45"/>
      <c r="X97" s="45"/>
      <c r="Y97" s="589"/>
      <c r="Z97" s="45"/>
    </row>
    <row r="98" spans="1:26" ht="17.399999999999999" customHeight="1">
      <c r="A98" s="4"/>
      <c r="B98" s="7"/>
      <c r="C98" s="7"/>
      <c r="D98" s="7"/>
      <c r="E98" s="4"/>
      <c r="F98" s="1968" t="s">
        <v>358</v>
      </c>
      <c r="G98" s="1968"/>
      <c r="H98" s="1973"/>
      <c r="I98" s="1973"/>
      <c r="J98" s="1457"/>
      <c r="K98" s="1980"/>
      <c r="S98" s="589"/>
      <c r="T98" s="589"/>
      <c r="U98" s="45"/>
      <c r="V98" s="45"/>
      <c r="W98" s="45"/>
      <c r="X98" s="45"/>
      <c r="Y98" s="589"/>
      <c r="Z98" s="45"/>
    </row>
    <row r="99" spans="1:26" ht="17.399999999999999" customHeight="1">
      <c r="A99" s="4"/>
      <c r="B99" s="7"/>
      <c r="C99" s="7"/>
      <c r="D99" s="7"/>
      <c r="E99" s="4"/>
      <c r="F99" s="1966" t="s">
        <v>359</v>
      </c>
      <c r="G99" s="1966"/>
      <c r="H99" s="1972"/>
      <c r="I99" s="1972"/>
      <c r="J99" s="1455"/>
      <c r="K99" s="1978">
        <f>H119</f>
        <v>0</v>
      </c>
      <c r="L99" s="1999" t="str">
        <f>IF(Demographic="&lt;select one&gt;","",IF(Demographic="Elderly Non-ALF","",IF(Demographic="Elderly ALF","",IF(Demographic="Family","",IF(Demographic="Homeless",IF(Data1!B420=2,Data1!G420,""),IF(Demographic="Farmworker/Commercial Fish Worker",IF(Data1!B422=2,Data1!G422,""),IF(OR(Demographic="Persons with a Disabiling Condition",Demographic="Persons with Developmental Disabilities"),IF(Data1!B425=2,Data1!G425,""),IF(Demographic="Persons with Special Needs",IF(Data1!B428=2,Data1!G428,""),""))))))))</f>
        <v/>
      </c>
      <c r="M99" s="1829"/>
      <c r="N99" s="1829"/>
      <c r="O99" s="1829"/>
      <c r="R99" s="576">
        <v>1</v>
      </c>
      <c r="S99" s="589"/>
      <c r="T99" s="11"/>
      <c r="U99" s="45"/>
      <c r="V99" s="45"/>
      <c r="W99" s="45"/>
      <c r="X99" s="45"/>
      <c r="Y99" s="589"/>
      <c r="Z99" s="45"/>
    </row>
    <row r="100" spans="1:26" ht="17.399999999999999" customHeight="1">
      <c r="A100" s="4"/>
      <c r="B100" s="7"/>
      <c r="C100" s="7"/>
      <c r="D100" s="7"/>
      <c r="E100" s="4"/>
      <c r="F100" s="1963" t="s">
        <v>360</v>
      </c>
      <c r="G100" s="1963"/>
      <c r="H100" s="1964"/>
      <c r="I100" s="1964"/>
      <c r="J100" s="1456"/>
      <c r="K100" s="1979"/>
      <c r="L100" s="1999"/>
      <c r="M100" s="1829"/>
      <c r="N100" s="1829"/>
      <c r="O100" s="1829"/>
      <c r="S100" s="589"/>
      <c r="T100" s="11"/>
      <c r="U100" s="45"/>
      <c r="V100" s="45"/>
      <c r="W100" s="45"/>
      <c r="X100" s="45"/>
      <c r="Y100" s="589"/>
      <c r="Z100" s="45"/>
    </row>
    <row r="101" spans="1:26" ht="17.399999999999999" customHeight="1">
      <c r="A101" s="4"/>
      <c r="B101" s="7"/>
      <c r="C101" s="7"/>
      <c r="D101" s="7"/>
      <c r="E101" s="4"/>
      <c r="F101" s="1963" t="s">
        <v>361</v>
      </c>
      <c r="G101" s="1963"/>
      <c r="H101" s="1964"/>
      <c r="I101" s="1964"/>
      <c r="J101" s="1456"/>
      <c r="K101" s="1979"/>
      <c r="L101" s="1999" t="str">
        <f>IF(Demographic="&lt;select one&gt;","",IF(Demographic="Elderly Non-ALF",Data1!$G$414,IF(Demographic="Elderly ALF","",IF(Demographic="Family","",IF(Demographic="Homeless",Data1!$G$419,IF(Demographic="Farmworker/Commercial Fish Worker","",IF(OR(Demographic="Persons with a Disabiling Condition",Demographic="Persons with Developmental Disabilities"),"",IF(Demographic="Persons with Special Needs",Data1!$G$427,""))))))))</f>
        <v/>
      </c>
      <c r="M101" s="1829"/>
      <c r="N101" s="1829"/>
      <c r="O101" s="1829"/>
      <c r="S101" s="589"/>
      <c r="T101" s="11"/>
      <c r="U101" s="45"/>
      <c r="V101" s="45"/>
      <c r="W101" s="45"/>
      <c r="X101" s="45"/>
      <c r="Y101" s="589"/>
      <c r="Z101" s="45"/>
    </row>
    <row r="102" spans="1:26" ht="17.399999999999999" customHeight="1">
      <c r="A102" s="4"/>
      <c r="B102" s="7"/>
      <c r="C102" s="7"/>
      <c r="D102" s="7"/>
      <c r="E102" s="4"/>
      <c r="F102" s="1963" t="s">
        <v>362</v>
      </c>
      <c r="G102" s="1963"/>
      <c r="H102" s="1964"/>
      <c r="I102" s="1964"/>
      <c r="J102" s="1456"/>
      <c r="K102" s="1979"/>
      <c r="L102" s="1999"/>
      <c r="M102" s="1829"/>
      <c r="N102" s="1829"/>
      <c r="O102" s="1829"/>
      <c r="S102" s="589"/>
      <c r="T102" s="11"/>
      <c r="U102" s="45"/>
      <c r="V102" s="45"/>
      <c r="W102" s="45"/>
      <c r="X102" s="45"/>
      <c r="Y102" s="589"/>
      <c r="Z102" s="45"/>
    </row>
    <row r="103" spans="1:26" ht="17.399999999999999" customHeight="1">
      <c r="A103" s="4"/>
      <c r="B103" s="7"/>
      <c r="C103" s="7"/>
      <c r="D103" s="7"/>
      <c r="E103" s="4"/>
      <c r="F103" s="1968" t="s">
        <v>363</v>
      </c>
      <c r="G103" s="1968"/>
      <c r="H103" s="1973"/>
      <c r="I103" s="1973"/>
      <c r="J103" s="1457"/>
      <c r="K103" s="1980"/>
      <c r="L103" s="1999"/>
      <c r="M103" s="1829"/>
      <c r="N103" s="1829"/>
      <c r="O103" s="1829"/>
      <c r="S103" s="589"/>
      <c r="T103" s="11"/>
      <c r="U103" s="45"/>
      <c r="V103" s="45"/>
      <c r="W103" s="45"/>
      <c r="X103" s="45"/>
      <c r="Y103" s="589"/>
      <c r="Z103" s="45"/>
    </row>
    <row r="104" spans="1:26" ht="17.399999999999999" hidden="1" customHeight="1">
      <c r="A104" s="4"/>
      <c r="B104" s="7"/>
      <c r="C104" s="7"/>
      <c r="D104" s="7"/>
      <c r="E104" s="963"/>
      <c r="F104" s="1966" t="s">
        <v>364</v>
      </c>
      <c r="G104" s="1966"/>
      <c r="H104" s="1972"/>
      <c r="I104" s="1972"/>
      <c r="J104" s="555"/>
      <c r="K104" s="1978">
        <f>H120</f>
        <v>0</v>
      </c>
      <c r="L104" s="1999" t="str">
        <f>IF(Demographic="&lt;select one&gt;","",IF(Demographic="Elderly Non-ALF","",IF(Demographic="Elderly ALF","",IF(Demographic="Family","",IF(Demographic="Homeless",IF(Data1!B420&gt;=2,Data1!G420,""),IF(Demographic="Farmworker/Commercial Fish Worker",IF(Data1!B422&gt;=2,Data1!G422,""),IF(OR(Demographic="Persons with a Disabiling Condition",Demographic="Persons with Developmental Disabilities"),IF(Data1!B425&gt;=2,Data1!G425,""),IF(Demographic="Persons with Special Needs",IF(Data1!B428&gt;=2,Data1!G428,""),""))))))))</f>
        <v/>
      </c>
      <c r="M104" s="1829"/>
      <c r="N104" s="1829"/>
      <c r="O104" s="1829"/>
      <c r="R104" s="576">
        <v>0</v>
      </c>
      <c r="S104" s="589"/>
      <c r="T104" s="11"/>
      <c r="U104" s="45"/>
      <c r="V104" s="45"/>
      <c r="W104" s="45"/>
      <c r="X104" s="45"/>
      <c r="Y104" s="589"/>
      <c r="Z104" s="45"/>
    </row>
    <row r="105" spans="1:26" ht="17.399999999999999" hidden="1" customHeight="1">
      <c r="A105" s="4"/>
      <c r="B105" s="7"/>
      <c r="C105" s="7"/>
      <c r="D105" s="7"/>
      <c r="E105" s="963"/>
      <c r="F105" s="1963" t="s">
        <v>365</v>
      </c>
      <c r="G105" s="1963"/>
      <c r="H105" s="1964"/>
      <c r="I105" s="1964"/>
      <c r="J105" s="556"/>
      <c r="K105" s="1979"/>
      <c r="L105" s="1999"/>
      <c r="M105" s="1829"/>
      <c r="N105" s="1829"/>
      <c r="O105" s="1829"/>
      <c r="S105" s="589"/>
      <c r="T105" s="11"/>
      <c r="U105" s="45"/>
      <c r="V105" s="45"/>
      <c r="W105" s="45"/>
      <c r="X105" s="45"/>
      <c r="Y105" s="589"/>
      <c r="Z105" s="45"/>
    </row>
    <row r="106" spans="1:26" ht="17.399999999999999" hidden="1" customHeight="1">
      <c r="A106" s="4"/>
      <c r="B106" s="7"/>
      <c r="C106" s="7"/>
      <c r="D106" s="7"/>
      <c r="E106" s="963"/>
      <c r="F106" s="1963" t="s">
        <v>366</v>
      </c>
      <c r="G106" s="1963"/>
      <c r="H106" s="1964"/>
      <c r="I106" s="1964"/>
      <c r="J106" s="556"/>
      <c r="K106" s="1979"/>
      <c r="L106" s="2002" t="str">
        <f>IF(Demographic="&lt;select one&gt;","",IF(Demographic="Elderly Non-ALF",Data1!$G$414,IF(Demographic="Elderly ALF","",IF(Demographic="Family","",IF(Demographic="Homeless","",IF(Demographic="Farmworker/Commercial Fish Worker","",IF(OR(Demographic="Persons with a Disabiling Condition",Demographic="Persons with Developmental Disabilities"),"",IF(Demographic="Persons with Special Needs","",""))))))))</f>
        <v/>
      </c>
      <c r="M106" s="2003"/>
      <c r="N106" s="2003"/>
      <c r="O106" s="2003"/>
      <c r="S106" s="589"/>
      <c r="T106" s="11"/>
      <c r="U106" s="45"/>
      <c r="V106" s="45"/>
      <c r="W106" s="45"/>
      <c r="X106" s="45"/>
      <c r="Y106" s="589"/>
      <c r="Z106" s="45"/>
    </row>
    <row r="107" spans="1:26" ht="17.399999999999999" hidden="1" customHeight="1">
      <c r="A107" s="4"/>
      <c r="B107" s="7"/>
      <c r="C107" s="7"/>
      <c r="D107" s="7"/>
      <c r="E107" s="963"/>
      <c r="F107" s="1963" t="s">
        <v>367</v>
      </c>
      <c r="G107" s="1963"/>
      <c r="H107" s="1964"/>
      <c r="I107" s="1964"/>
      <c r="J107" s="556"/>
      <c r="K107" s="1979"/>
      <c r="L107" s="2002"/>
      <c r="M107" s="2003"/>
      <c r="N107" s="2003"/>
      <c r="O107" s="2003"/>
      <c r="S107" s="589"/>
      <c r="T107" s="11"/>
      <c r="U107" s="45"/>
      <c r="V107" s="45"/>
      <c r="W107" s="45"/>
      <c r="X107" s="45"/>
      <c r="Y107" s="589"/>
      <c r="Z107" s="45"/>
    </row>
    <row r="108" spans="1:26" ht="17.399999999999999" hidden="1" customHeight="1">
      <c r="A108" s="4"/>
      <c r="B108" s="7"/>
      <c r="C108" s="7"/>
      <c r="D108" s="7"/>
      <c r="E108" s="963"/>
      <c r="F108" s="1963" t="s">
        <v>368</v>
      </c>
      <c r="G108" s="1963"/>
      <c r="H108" s="1964"/>
      <c r="I108" s="1964"/>
      <c r="J108" s="556"/>
      <c r="K108" s="1979"/>
      <c r="L108" s="2002"/>
      <c r="M108" s="2003"/>
      <c r="N108" s="2003"/>
      <c r="O108" s="2003"/>
      <c r="S108" s="589"/>
      <c r="T108" s="11"/>
      <c r="U108" s="45"/>
      <c r="V108" s="45"/>
      <c r="W108" s="45"/>
      <c r="X108" s="45"/>
      <c r="Y108" s="589"/>
      <c r="Z108" s="45"/>
    </row>
    <row r="109" spans="1:26" s="3" customFormat="1" ht="17.399999999999999" hidden="1" customHeight="1">
      <c r="E109" s="1437"/>
      <c r="F109" s="1963" t="s">
        <v>369</v>
      </c>
      <c r="G109" s="1963"/>
      <c r="H109" s="1964"/>
      <c r="I109" s="1964"/>
      <c r="J109" s="556"/>
      <c r="K109" s="1979"/>
      <c r="S109" s="589"/>
      <c r="T109" s="11"/>
      <c r="Y109" s="589"/>
    </row>
    <row r="110" spans="1:26" s="3" customFormat="1" ht="17.399999999999999" hidden="1" customHeight="1">
      <c r="E110" s="1437"/>
      <c r="F110" s="1968" t="s">
        <v>370</v>
      </c>
      <c r="G110" s="1968"/>
      <c r="H110" s="1973"/>
      <c r="I110" s="1973"/>
      <c r="J110" s="557"/>
      <c r="K110" s="1980"/>
      <c r="L110" s="1976" t="str">
        <f>IF(SUM(H94:I110)=Total_Units,"The total number of units calculated in the Unit Mix Chart matches the total number of units stated at 6.a. above.","Attention:  The total number of units calculated in the Unit Mix Chart does not match the total number of units stated at 6.a. above.")</f>
        <v>The total number of units calculated in the Unit Mix Chart matches the total number of units stated at 6.a. above.</v>
      </c>
      <c r="M110" s="1976"/>
      <c r="N110" s="1976"/>
      <c r="O110" s="1976"/>
      <c r="P110" s="91"/>
      <c r="Q110" s="91"/>
      <c r="S110" s="589"/>
      <c r="T110" s="11"/>
      <c r="Y110" s="589"/>
    </row>
    <row r="111" spans="1:26" s="3" customFormat="1" ht="17.399999999999999" customHeight="1">
      <c r="E111" s="56"/>
      <c r="F111" s="2000" t="s">
        <v>913</v>
      </c>
      <c r="G111" s="2001"/>
      <c r="H111" s="1974">
        <f>SUM(H94:I110)</f>
        <v>0</v>
      </c>
      <c r="I111" s="1975"/>
      <c r="J111" s="587">
        <f>SUM(J94:J110)</f>
        <v>0</v>
      </c>
      <c r="K111" s="587">
        <f>SUM(K94:K110)</f>
        <v>0</v>
      </c>
      <c r="L111" s="1976"/>
      <c r="M111" s="1976"/>
      <c r="N111" s="1976"/>
      <c r="O111" s="1976"/>
      <c r="P111" s="91"/>
      <c r="Q111" s="91"/>
      <c r="S111" s="591"/>
      <c r="T111" s="11"/>
      <c r="Y111" s="591"/>
    </row>
    <row r="112" spans="1:26" s="3" customFormat="1" ht="10.35" customHeight="1">
      <c r="E112" s="56"/>
      <c r="F112" s="78"/>
      <c r="L112" s="1976"/>
      <c r="M112" s="1976"/>
      <c r="N112" s="1976"/>
      <c r="O112" s="1976"/>
      <c r="P112" s="91"/>
      <c r="Q112" s="91"/>
    </row>
    <row r="113" spans="1:18" s="3" customFormat="1" ht="17.399999999999999" hidden="1" customHeight="1">
      <c r="F113" s="377"/>
      <c r="G113" s="536" t="str">
        <f>"ELI Commitment"&amp;IF(I113=0,"","s")&amp;":"</f>
        <v>ELI Commitment:</v>
      </c>
      <c r="H113" s="69">
        <f>IF(OR(Minimum_SetAside_per_Sec_42=Data1!A339,Minimum_SetAside_per_Sec_42=Data1!A340,Minimum_SetAside_per_Sec_42=Data1!A342),DS_Min_ELI_NonAIT_NSS+DS_Min_ELI_NonAIT_Buy_NSS,IF(Minimum_SetAside_per_Sec_42="Average Income Test",DS_Min_ELI_AIT_NSS+DS_Min_ELI_AIT_Buy_NSS,0))</f>
        <v>0</v>
      </c>
      <c r="I113" s="69">
        <f>IF(Funding!K42=1,IF(OR(Minimum_SetAside_per_Sec_42=Data1!A339,Minimum_SetAside_per_Sec_42=Data1!A340,Minimum_SetAside_per_Sec_42=Data1!A342),IF(Self_Sourced_Applicant="Yes",DS_Min_ELI_NonAIT_Buy_SS,DS_Min_ELI_NonAIT_Buy_NSS),IF(Minimum_SetAside_per_Sec_42="Average Income Test",IF(Self_Sourced_Applicant="Yes",DS_Min_ELI_AIT_Buy_SS,DS_Min_ELI_AIT_Buy_NSS),0)),0)</f>
        <v>0</v>
      </c>
      <c r="L113" s="91"/>
      <c r="R113" s="576">
        <v>0</v>
      </c>
    </row>
    <row r="114" spans="1:18" s="3" customFormat="1" ht="17.399999999999999" hidden="1" customHeight="1">
      <c r="D114" s="534"/>
      <c r="E114" s="534"/>
      <c r="F114" s="535" t="s">
        <v>1043</v>
      </c>
      <c r="G114" s="529" t="s">
        <v>816</v>
      </c>
      <c r="H114" s="529" t="s">
        <v>1045</v>
      </c>
      <c r="I114" s="529" t="s">
        <v>1047</v>
      </c>
      <c r="J114" s="529" t="s">
        <v>1044</v>
      </c>
      <c r="K114" s="531" t="s">
        <v>1046</v>
      </c>
      <c r="L114" s="91"/>
      <c r="M114"/>
      <c r="R114" s="634" t="str">
        <f>IF(R113=0,"Be sure the 8 ""Min_ELI_..."" named ranges are zero","")</f>
        <v>Be sure the 8 "Min_ELI_..." named ranges are zero</v>
      </c>
    </row>
    <row r="115" spans="1:18" s="3" customFormat="1" ht="5.0999999999999996" hidden="1" customHeight="1">
      <c r="D115" s="534"/>
      <c r="E115" s="534"/>
      <c r="F115" s="540"/>
      <c r="G115" s="541"/>
      <c r="H115" s="542"/>
      <c r="I115" s="542"/>
      <c r="J115" s="547"/>
      <c r="K115" s="543"/>
      <c r="L115" s="91"/>
    </row>
    <row r="116" spans="1:18" s="3" customFormat="1" ht="17.399999999999999" hidden="1" customHeight="1">
      <c r="D116" s="499"/>
      <c r="E116" s="72"/>
      <c r="F116" s="544">
        <v>0</v>
      </c>
      <c r="G116" s="874">
        <f>Zero_Bed_One_Bath_Total_Units</f>
        <v>0</v>
      </c>
      <c r="H116" s="874">
        <f>ROUNDUP(SUM($G$115:$G116)*IF($F$33&gt;0,DS_Min_ELI_NonAIT_NSS+DS_Min_ELI_NonAIT_Buy_NSS,IF($F$47&gt;0,DS_Min_ELI_AIT_NSS+DS_Min_ELI_AIT_Buy_NSS,0)),0)-SUM(H$115:H115)</f>
        <v>0</v>
      </c>
      <c r="I116" s="874">
        <f>SUM($H$116:$H116)-ROUNDUP(SUM($G$115:$G116)*IF($F$33&gt;0,DS_Min_ELI_NonAIT_NSS,IF($F$47&gt;0,DS_Min_ELI_AIT_NSS,0)),0)-SUM(I$115:I115)</f>
        <v>0</v>
      </c>
      <c r="J116" s="545">
        <f>IFERROR(VLOOKUP(County,DS_CountyData,7+F116),0)</f>
        <v>0</v>
      </c>
      <c r="K116" s="546">
        <f>I116*J116</f>
        <v>0</v>
      </c>
      <c r="L116" s="91"/>
    </row>
    <row r="117" spans="1:18" s="3" customFormat="1" ht="17.399999999999999" hidden="1" customHeight="1">
      <c r="D117" s="499"/>
      <c r="E117" s="72"/>
      <c r="F117" s="537">
        <v>1</v>
      </c>
      <c r="G117" s="875">
        <f>One_Bed_One_Bath_Total_Units</f>
        <v>0</v>
      </c>
      <c r="H117" s="874">
        <f>ROUNDUP(SUM($G$115:$G117)*IF($F$33&gt;0,DS_Min_ELI_NonAIT_NSS+DS_Min_ELI_NonAIT_Buy_NSS,IF($F$47&gt;0,DS_Min_ELI_AIT_NSS+DS_Min_ELI_AIT_Buy_NSS,0)),0)-SUM(H$115:H116)</f>
        <v>0</v>
      </c>
      <c r="I117" s="874">
        <f>SUM($H$116:$H117)-ROUNDUP(SUM($G$115:$G117)*IF($F$33&gt;0,DS_Min_ELI_NonAIT_NSS,IF($F$47&gt;0,DS_Min_ELI_AIT_NSS,0)),0)-SUM(I$115:I116)</f>
        <v>0</v>
      </c>
      <c r="J117" s="528">
        <f>IFERROR(VLOOKUP(County,DS_CountyData,7+F117),0)</f>
        <v>0</v>
      </c>
      <c r="K117" s="530">
        <f>I117*J117</f>
        <v>0</v>
      </c>
      <c r="L117" s="91"/>
    </row>
    <row r="118" spans="1:18" s="3" customFormat="1" ht="17.399999999999999" hidden="1" customHeight="1">
      <c r="D118" s="499"/>
      <c r="E118" s="72"/>
      <c r="F118" s="537">
        <v>2</v>
      </c>
      <c r="G118" s="875">
        <f>SUM(H96:I98)</f>
        <v>0</v>
      </c>
      <c r="H118" s="874">
        <f>ROUNDUP(SUM($G$115:$G118)*IF($F$33&gt;0,DS_Min_ELI_NonAIT_NSS+DS_Min_ELI_NonAIT_Buy_NSS,IF($F$47&gt;0,DS_Min_ELI_AIT_NSS+DS_Min_ELI_AIT_Buy_NSS,0)),0)-SUM(H$115:H117)</f>
        <v>0</v>
      </c>
      <c r="I118" s="874">
        <f>SUM($H$116:$H118)-ROUNDUP(SUM($G$115:$G118)*IF($F$33&gt;0,DS_Min_ELI_NonAIT_NSS,IF($F$47&gt;0,DS_Min_ELI_AIT_NSS,0)),0)-SUM(I$115:I117)</f>
        <v>0</v>
      </c>
      <c r="J118" s="528">
        <f>IFERROR(VLOOKUP(County,DS_CountyData,7+F118),0)</f>
        <v>0</v>
      </c>
      <c r="K118" s="530">
        <f>I118*J118</f>
        <v>0</v>
      </c>
      <c r="L118" s="91"/>
    </row>
    <row r="119" spans="1:18" s="3" customFormat="1" ht="17.399999999999999" hidden="1" customHeight="1">
      <c r="D119" s="499"/>
      <c r="E119" s="72"/>
      <c r="F119" s="537">
        <v>3</v>
      </c>
      <c r="G119" s="875">
        <f>SUM(H99:I103)</f>
        <v>0</v>
      </c>
      <c r="H119" s="874">
        <f>ROUNDUP(SUM($G$115:$G119)*IF($F$33&gt;0,DS_Min_ELI_NonAIT_NSS+DS_Min_ELI_NonAIT_Buy_NSS,IF($F$47&gt;0,DS_Min_ELI_AIT_NSS+DS_Min_ELI_AIT_Buy_NSS,0)),0)-SUM(H$115:H118)</f>
        <v>0</v>
      </c>
      <c r="I119" s="874">
        <f>SUM($H$116:$H119)-ROUNDUP(SUM($G$115:$G119)*IF($F$33&gt;0,DS_Min_ELI_NonAIT_NSS,IF($F$47&gt;0,DS_Min_ELI_AIT_NSS,0)),0)-SUM(I$115:I118)</f>
        <v>0</v>
      </c>
      <c r="J119" s="528">
        <f>IFERROR(VLOOKUP(County,DS_CountyData,7+F119),0)</f>
        <v>0</v>
      </c>
      <c r="K119" s="530">
        <f>I119*J119</f>
        <v>0</v>
      </c>
      <c r="L119" s="91"/>
    </row>
    <row r="120" spans="1:18" s="3" customFormat="1" ht="17.399999999999999" hidden="1" customHeight="1">
      <c r="D120" s="499"/>
      <c r="E120" s="72"/>
      <c r="F120" s="537">
        <v>4</v>
      </c>
      <c r="G120" s="875">
        <f>SUM(H104:I110)</f>
        <v>0</v>
      </c>
      <c r="H120" s="874">
        <f>ROUNDUP(SUM($G$115:$G120)*IF($F$33&gt;0,DS_Min_ELI_NonAIT_NSS+DS_Min_ELI_NonAIT_Buy_NSS,IF($F$47&gt;0,DS_Min_ELI_AIT_NSS+DS_Min_ELI_AIT_Buy_NSS,0)),0)-SUM(H$115:H119)</f>
        <v>0</v>
      </c>
      <c r="I120" s="874">
        <f>SUM($H$116:$H120)-ROUNDUP(SUM($G$115:$G120)*IF($F$33&gt;0,DS_Min_ELI_NonAIT_NSS,IF($F$47&gt;0,DS_Min_ELI_AIT_NSS,0)),0)-SUM(I$115:I119)</f>
        <v>0</v>
      </c>
      <c r="J120" s="528">
        <f>IFERROR(VLOOKUP(County,DS_CountyData,7+F120),0)</f>
        <v>0</v>
      </c>
      <c r="K120" s="530">
        <f>I120*J120</f>
        <v>0</v>
      </c>
      <c r="L120" s="91"/>
    </row>
    <row r="121" spans="1:18" s="3" customFormat="1" ht="5.0999999999999996" hidden="1" customHeight="1" thickBot="1">
      <c r="D121" s="499"/>
      <c r="E121" s="72"/>
      <c r="F121" s="548"/>
      <c r="G121" s="380"/>
      <c r="H121" s="380"/>
      <c r="I121" s="380"/>
      <c r="J121" s="527"/>
      <c r="K121" s="549"/>
      <c r="L121" s="91"/>
    </row>
    <row r="122" spans="1:18" s="3" customFormat="1" ht="17.399999999999999" hidden="1" customHeight="1" thickTop="1">
      <c r="D122" s="17"/>
      <c r="E122" s="72"/>
      <c r="F122" s="538" t="s">
        <v>913</v>
      </c>
      <c r="G122" s="873">
        <f>SUM(G116:G120)</f>
        <v>0</v>
      </c>
      <c r="H122" s="873">
        <f>SUM(H116:H120)</f>
        <v>0</v>
      </c>
      <c r="I122" s="873">
        <f>SUM(I116:I120)</f>
        <v>0</v>
      </c>
      <c r="J122" s="550" t="str">
        <f>IF(SUM(K116:K120)&gt;DS_ELI_PD,"Exceeds Per Development Limit","")</f>
        <v/>
      </c>
      <c r="K122" s="539">
        <f>SUM(K116:K120)</f>
        <v>0</v>
      </c>
      <c r="L122" s="505" t="str">
        <f>IF(SUM(K116:K120)&gt;DS_ELI_PD,"The funding tab will limit the request amount to the Per Development Limit of "&amp;TEXT(DS_ELI_PD,"$#,##0")&amp;".","")</f>
        <v/>
      </c>
    </row>
    <row r="123" spans="1:18" s="3" customFormat="1" ht="10.35" hidden="1" customHeight="1">
      <c r="E123" s="56"/>
      <c r="L123" s="91"/>
      <c r="M123" s="91"/>
      <c r="N123" s="91"/>
      <c r="O123" s="91"/>
      <c r="P123" s="91"/>
      <c r="Q123" s="91"/>
    </row>
    <row r="124" spans="1:18" ht="14.4" customHeight="1">
      <c r="A124" s="633" t="str" cm="1">
        <f t="array" ref="A124">CHAR(CODE(LOOKUP(2,1/(COUNTIF(A$3:A123,"&gt;"&amp;A$3:A123&amp;"*")=0),A$3:A123))+1)</f>
        <v>e</v>
      </c>
      <c r="B124" s="1967" t="s">
        <v>371</v>
      </c>
      <c r="C124" s="1967"/>
      <c r="D124" s="1967"/>
      <c r="E124" s="1967"/>
      <c r="F124" s="1967"/>
      <c r="G124" s="1967"/>
      <c r="H124" s="4"/>
      <c r="I124" s="4"/>
      <c r="J124" s="4"/>
      <c r="K124" s="4"/>
      <c r="L124" s="91"/>
      <c r="M124" s="91"/>
      <c r="N124" s="91"/>
      <c r="O124" s="91"/>
      <c r="P124" s="91"/>
      <c r="Q124" s="91"/>
    </row>
    <row r="125" spans="1:18" ht="17.399999999999999" customHeight="1">
      <c r="A125" s="4"/>
      <c r="B125" s="153" t="s">
        <v>372</v>
      </c>
      <c r="D125" s="161"/>
      <c r="E125" s="153"/>
      <c r="F125" s="153"/>
      <c r="G125" s="963"/>
      <c r="H125" s="145"/>
      <c r="J125" s="4"/>
      <c r="K125" s="4"/>
      <c r="M125" s="55"/>
      <c r="P125" s="588">
        <v>1</v>
      </c>
      <c r="Q125" s="390">
        <f>IF(AND(P125&lt;&gt;0,AND(C125&lt;&gt;"&lt;select one&gt;",C125&lt;&gt;"")),P125,0)</f>
        <v>0</v>
      </c>
      <c r="R125" s="648" t="str">
        <f>CHOOSE(P125+1,"Not to be included in this RFA","A REQUIRED input field for this RFA","An OPTIONAL input field for this RFA")</f>
        <v>A REQUIRED input field for this RFA</v>
      </c>
    </row>
    <row r="126" spans="1:18" ht="10.35" customHeight="1">
      <c r="A126" s="4"/>
      <c r="B126" s="4"/>
      <c r="C126" s="4"/>
      <c r="D126" s="4"/>
      <c r="E126" s="4"/>
      <c r="F126" s="4"/>
      <c r="G126" s="4"/>
      <c r="H126" s="4"/>
      <c r="I126" s="4"/>
      <c r="J126" s="4"/>
      <c r="K126" s="4"/>
    </row>
    <row r="127" spans="1:18">
      <c r="A127" s="633" t="str" cm="1">
        <f t="array" ref="A127">CHAR(CODE(LOOKUP(2,1/(COUNTIF(A$3:A126,"&gt;"&amp;A$3:A126&amp;"*")=0),A$3:A126))+1)</f>
        <v>f</v>
      </c>
      <c r="B127" s="174" t="s">
        <v>373</v>
      </c>
      <c r="C127" s="4"/>
      <c r="D127" s="4"/>
      <c r="E127" s="4"/>
      <c r="F127" s="4"/>
      <c r="G127" s="4"/>
      <c r="H127" s="4"/>
      <c r="I127" s="4"/>
      <c r="J127" s="4"/>
      <c r="K127" s="4"/>
    </row>
    <row r="128" spans="1:18" ht="30" customHeight="1">
      <c r="A128" s="4"/>
      <c r="B128" s="1848" t="s">
        <v>374</v>
      </c>
      <c r="C128" s="1848"/>
      <c r="D128" s="1848"/>
      <c r="E128" s="1848"/>
      <c r="F128" s="1848"/>
      <c r="G128" s="1848"/>
      <c r="H128" s="1848"/>
      <c r="I128" s="1848"/>
      <c r="J128" s="1375">
        <f>Data1!B373</f>
        <v>30</v>
      </c>
      <c r="K128" s="79"/>
    </row>
    <row r="129" spans="1:11" ht="10.35" customHeight="1">
      <c r="A129" s="4"/>
      <c r="B129" s="4"/>
      <c r="C129" s="4"/>
      <c r="D129" s="4"/>
      <c r="E129" s="4"/>
      <c r="F129" s="4"/>
      <c r="G129" s="4"/>
      <c r="H129" s="4"/>
      <c r="I129" s="4"/>
      <c r="J129" s="4"/>
      <c r="K129" s="4"/>
    </row>
  </sheetData>
  <sheetProtection algorithmName="SHA-512" hashValue="uMraAJeRZ3NcclXHsGYTP7FVrx5Ufx+3D8o2Kz0PMT4nz32PJvzcPSA1CgrUO1OGaQgjehVOfCiC6PhfLiRymw==" saltValue="0SInKGR7Fv6fGevlIhyJcw==" spinCount="100000" sheet="1" formatRows="0" selectLockedCells="1"/>
  <mergeCells count="134">
    <mergeCell ref="M1:T2"/>
    <mergeCell ref="G85:H85"/>
    <mergeCell ref="G86:H86"/>
    <mergeCell ref="G83:H83"/>
    <mergeCell ref="F92:G93"/>
    <mergeCell ref="L20:O20"/>
    <mergeCell ref="L37:O37"/>
    <mergeCell ref="G87:H87"/>
    <mergeCell ref="G72:H72"/>
    <mergeCell ref="G73:H73"/>
    <mergeCell ref="G30:H30"/>
    <mergeCell ref="G74:H74"/>
    <mergeCell ref="G75:H75"/>
    <mergeCell ref="G76:H76"/>
    <mergeCell ref="G77:H77"/>
    <mergeCell ref="G78:H78"/>
    <mergeCell ref="G79:H79"/>
    <mergeCell ref="G80:H80"/>
    <mergeCell ref="G81:H81"/>
    <mergeCell ref="J43:J44"/>
    <mergeCell ref="G38:H38"/>
    <mergeCell ref="G39:H39"/>
    <mergeCell ref="G42:H42"/>
    <mergeCell ref="J73:J84"/>
    <mergeCell ref="L99:O100"/>
    <mergeCell ref="H109:I109"/>
    <mergeCell ref="H103:I103"/>
    <mergeCell ref="F104:G104"/>
    <mergeCell ref="H104:I104"/>
    <mergeCell ref="F111:G111"/>
    <mergeCell ref="H99:I99"/>
    <mergeCell ref="F102:G102"/>
    <mergeCell ref="H102:I102"/>
    <mergeCell ref="L106:O108"/>
    <mergeCell ref="L101:O103"/>
    <mergeCell ref="L104:O105"/>
    <mergeCell ref="F105:G105"/>
    <mergeCell ref="H100:I100"/>
    <mergeCell ref="F101:G101"/>
    <mergeCell ref="F109:G109"/>
    <mergeCell ref="F103:G103"/>
    <mergeCell ref="H105:I105"/>
    <mergeCell ref="H106:I106"/>
    <mergeCell ref="F107:G107"/>
    <mergeCell ref="H107:I107"/>
    <mergeCell ref="L110:O112"/>
    <mergeCell ref="L94:O94"/>
    <mergeCell ref="L95:O95"/>
    <mergeCell ref="K96:K98"/>
    <mergeCell ref="L93:R93"/>
    <mergeCell ref="D70:J70"/>
    <mergeCell ref="R25:R26"/>
    <mergeCell ref="D52:J52"/>
    <mergeCell ref="G54:H54"/>
    <mergeCell ref="G55:H55"/>
    <mergeCell ref="J55:J63"/>
    <mergeCell ref="G56:H56"/>
    <mergeCell ref="G57:H57"/>
    <mergeCell ref="G58:H58"/>
    <mergeCell ref="G59:H59"/>
    <mergeCell ref="G60:H60"/>
    <mergeCell ref="G61:H61"/>
    <mergeCell ref="L32:O33"/>
    <mergeCell ref="G64:H64"/>
    <mergeCell ref="B89:J89"/>
    <mergeCell ref="D50:J50"/>
    <mergeCell ref="G45:H45"/>
    <mergeCell ref="H92:I93"/>
    <mergeCell ref="J92:J93"/>
    <mergeCell ref="K92:K93"/>
    <mergeCell ref="F108:G108"/>
    <mergeCell ref="H108:I108"/>
    <mergeCell ref="F97:G97"/>
    <mergeCell ref="B128:I128"/>
    <mergeCell ref="F94:G94"/>
    <mergeCell ref="F95:G95"/>
    <mergeCell ref="F96:G96"/>
    <mergeCell ref="B124:G124"/>
    <mergeCell ref="F98:G98"/>
    <mergeCell ref="F99:G99"/>
    <mergeCell ref="H94:I94"/>
    <mergeCell ref="H95:I95"/>
    <mergeCell ref="H96:I96"/>
    <mergeCell ref="F100:G100"/>
    <mergeCell ref="F110:G110"/>
    <mergeCell ref="H110:I110"/>
    <mergeCell ref="F106:G106"/>
    <mergeCell ref="H97:I97"/>
    <mergeCell ref="H101:I101"/>
    <mergeCell ref="H111:I111"/>
    <mergeCell ref="H98:I98"/>
    <mergeCell ref="K99:K103"/>
    <mergeCell ref="K104:K110"/>
    <mergeCell ref="A1:K1"/>
    <mergeCell ref="D18:J18"/>
    <mergeCell ref="G41:H41"/>
    <mergeCell ref="G31:H31"/>
    <mergeCell ref="G29:H29"/>
    <mergeCell ref="G40:H40"/>
    <mergeCell ref="D35:J35"/>
    <mergeCell ref="G37:H37"/>
    <mergeCell ref="C13:K13"/>
    <mergeCell ref="C6:K6"/>
    <mergeCell ref="B8:J8"/>
    <mergeCell ref="L3:N4"/>
    <mergeCell ref="J21:J29"/>
    <mergeCell ref="G27:H27"/>
    <mergeCell ref="G20:H20"/>
    <mergeCell ref="G22:H22"/>
    <mergeCell ref="J38:J42"/>
    <mergeCell ref="L12:O19"/>
    <mergeCell ref="L38:O46"/>
    <mergeCell ref="L68:O72"/>
    <mergeCell ref="L48:O49"/>
    <mergeCell ref="G46:H46"/>
    <mergeCell ref="G32:H32"/>
    <mergeCell ref="B5:J5"/>
    <mergeCell ref="B3:I3"/>
    <mergeCell ref="G44:H44"/>
    <mergeCell ref="G43:H43"/>
    <mergeCell ref="G82:H82"/>
    <mergeCell ref="G84:H84"/>
    <mergeCell ref="G24:H24"/>
    <mergeCell ref="G21:H21"/>
    <mergeCell ref="G23:H23"/>
    <mergeCell ref="G26:H26"/>
    <mergeCell ref="G62:H62"/>
    <mergeCell ref="G63:H63"/>
    <mergeCell ref="G65:H65"/>
    <mergeCell ref="G66:H66"/>
    <mergeCell ref="G47:H47"/>
    <mergeCell ref="G25:H25"/>
    <mergeCell ref="G33:H33"/>
    <mergeCell ref="G28:H28"/>
  </mergeCells>
  <conditionalFormatting sqref="J3 G21:H30 F38:F44 H94:H110 J96:J110 H125">
    <cfRule type="cellIs" dxfId="403" priority="6" operator="notEqual">
      <formula>""</formula>
    </cfRule>
  </conditionalFormatting>
  <conditionalFormatting sqref="L32">
    <cfRule type="expression" dxfId="402" priority="39">
      <formula>IFERROR(FIND("Attention:",$L$32),0)&gt;0</formula>
    </cfRule>
  </conditionalFormatting>
  <conditionalFormatting sqref="L48 P48:Q49">
    <cfRule type="expression" dxfId="401" priority="61">
      <formula>IFERROR(FIND("Attention",L48),0)&gt;0</formula>
    </cfRule>
  </conditionalFormatting>
  <conditionalFormatting sqref="L3">
    <cfRule type="expression" dxfId="400" priority="8">
      <formula>IFERROR(FIND("Attention",$L$3),0)&gt;0</formula>
    </cfRule>
  </conditionalFormatting>
  <conditionalFormatting sqref="H111:I111">
    <cfRule type="cellIs" dxfId="399" priority="146" operator="notEqual">
      <formula>Total_Units</formula>
    </cfRule>
  </conditionalFormatting>
  <conditionalFormatting sqref="J111:K111">
    <cfRule type="cellIs" dxfId="398" priority="154" operator="notEqual">
      <formula>$H$122</formula>
    </cfRule>
  </conditionalFormatting>
  <conditionalFormatting sqref="J94:J95">
    <cfRule type="cellIs" dxfId="397" priority="99" operator="notEqual">
      <formula>$K94</formula>
    </cfRule>
  </conditionalFormatting>
  <conditionalFormatting sqref="J96:J98">
    <cfRule type="expression" dxfId="396" priority="107">
      <formula>AND(SUM(J$96:J$98)&lt;&gt;K$96,J96&gt;0)</formula>
    </cfRule>
  </conditionalFormatting>
  <conditionalFormatting sqref="J99:J103">
    <cfRule type="expression" dxfId="395" priority="117">
      <formula>AND(SUM(J$99:J$103)&lt;&gt;K$99,J99&gt;0)</formula>
    </cfRule>
  </conditionalFormatting>
  <conditionalFormatting sqref="J104:J110">
    <cfRule type="expression" dxfId="394" priority="133">
      <formula>AND(SUM(J$104:J$110)&lt;&gt;K$104,J104&gt;0)</formula>
    </cfRule>
  </conditionalFormatting>
  <conditionalFormatting sqref="I113:K122">
    <cfRule type="expression" dxfId="393" priority="156">
      <formula>$I$113=0</formula>
    </cfRule>
  </conditionalFormatting>
  <conditionalFormatting sqref="A3:K3 A4:B4 D4:K4">
    <cfRule type="expression" dxfId="392" priority="7">
      <formula>$P$3=0</formula>
    </cfRule>
  </conditionalFormatting>
  <conditionalFormatting sqref="A5:K7">
    <cfRule type="expression" dxfId="391" priority="11">
      <formula>$P$6=0</formula>
    </cfRule>
  </conditionalFormatting>
  <conditionalFormatting sqref="A8:K9">
    <cfRule type="expression" dxfId="390" priority="14">
      <formula>$R$8=0</formula>
    </cfRule>
  </conditionalFormatting>
  <conditionalFormatting sqref="B12:K14">
    <cfRule type="expression" dxfId="389" priority="20">
      <formula>$P$13=0</formula>
    </cfRule>
  </conditionalFormatting>
  <conditionalFormatting sqref="B35:K51">
    <cfRule type="expression" dxfId="388" priority="40">
      <formula>$R$35=0</formula>
    </cfRule>
  </conditionalFormatting>
  <conditionalFormatting sqref="C35:J46 C48:J50 C47:G47 I47:J47">
    <cfRule type="expression" dxfId="387" priority="41">
      <formula>AND($C$13&lt;&gt;"&lt;select one&gt;",$C$13&lt;&gt;"Average Income Test")</formula>
    </cfRule>
  </conditionalFormatting>
  <conditionalFormatting sqref="C18:J33">
    <cfRule type="expression" dxfId="386" priority="27">
      <formula>AND($C$13&lt;&gt;"&lt;select one&gt;",$C$13="Average Income Test")</formula>
    </cfRule>
  </conditionalFormatting>
  <conditionalFormatting sqref="G21:G30">
    <cfRule type="expression" dxfId="385" priority="30" stopIfTrue="1">
      <formula>AND($G21&lt;&gt;"",$C$13&lt;&gt;"&lt;select one&gt;",$C$13="Average Income Test")</formula>
    </cfRule>
  </conditionalFormatting>
  <conditionalFormatting sqref="L93">
    <cfRule type="expression" dxfId="384" priority="96">
      <formula>LEFT(RIGHT(L93,28),3)="NOT"</formula>
    </cfRule>
  </conditionalFormatting>
  <conditionalFormatting sqref="L95">
    <cfRule type="expression" dxfId="383" priority="103">
      <formula>LEFT(RIGHT(L95,28),3)="NOT"</formula>
    </cfRule>
  </conditionalFormatting>
  <conditionalFormatting sqref="L94">
    <cfRule type="expression" dxfId="382" priority="102">
      <formula>LEFT(RIGHT(L94,28),3)="NOT"</formula>
    </cfRule>
  </conditionalFormatting>
  <conditionalFormatting sqref="H99:I110">
    <cfRule type="expression" dxfId="381" priority="114">
      <formula>AND(Demographic="Farmworker/Commercial Fish Worker",$H99&gt;0)</formula>
    </cfRule>
    <cfRule type="expression" dxfId="380" priority="116">
      <formula>AND(OR(Demographic="Persons with a Disabiling Condition",Demographic="Persons with Developmental Disabilities"),$H99&gt;0)</formula>
    </cfRule>
  </conditionalFormatting>
  <conditionalFormatting sqref="H104:I110">
    <cfRule type="expression" dxfId="379" priority="130">
      <formula>AND(LEFT(RIGHT($L$106,28),3)="NOT",$H104&gt;0)</formula>
    </cfRule>
    <cfRule type="expression" dxfId="378" priority="131">
      <formula>AND(Demographic="Homeless",$H104&gt;0)</formula>
    </cfRule>
    <cfRule type="expression" dxfId="377" priority="132">
      <formula>AND(Demographic="Persons with Special Needs",$H104&gt;0)</formula>
    </cfRule>
  </conditionalFormatting>
  <conditionalFormatting sqref="L99:O100">
    <cfRule type="expression" dxfId="376" priority="119">
      <formula>AND($L99&lt;&gt;"",SUM($H$99:$H$103)&gt;0)</formula>
    </cfRule>
  </conditionalFormatting>
  <conditionalFormatting sqref="L104:O105">
    <cfRule type="expression" dxfId="375" priority="135">
      <formula>AND($L104&lt;&gt;"",SUM($H104:$H110)&gt;0)</formula>
    </cfRule>
  </conditionalFormatting>
  <conditionalFormatting sqref="L101">
    <cfRule type="expression" dxfId="374" priority="125">
      <formula>LEFT(RIGHT(L101,28),3)="NOT"</formula>
    </cfRule>
  </conditionalFormatting>
  <conditionalFormatting sqref="L106">
    <cfRule type="expression" dxfId="373" priority="141">
      <formula>LEFT(RIGHT(L106,28),3)="NOT"</formula>
    </cfRule>
  </conditionalFormatting>
  <conditionalFormatting sqref="H99:I103">
    <cfRule type="expression" dxfId="372" priority="109">
      <formula>AND(LEFT(RIGHT($L$101,28),3)="NOT",$H99&gt;0)</formula>
    </cfRule>
  </conditionalFormatting>
  <conditionalFormatting sqref="H94:I95">
    <cfRule type="expression" dxfId="371" priority="98">
      <formula>AND(LEFT(RIGHT($L94,28),3)="NOT",$H94&gt;0)</formula>
    </cfRule>
  </conditionalFormatting>
  <conditionalFormatting sqref="C6:K6 C13:K13">
    <cfRule type="cellIs" dxfId="370" priority="13" operator="notEqual">
      <formula>"&lt;select one&gt;"</formula>
    </cfRule>
  </conditionalFormatting>
  <conditionalFormatting sqref="I21:I27">
    <cfRule type="expression" dxfId="369" priority="32">
      <formula>AND($C$13&lt;&gt;"&lt;select one&gt;",$C$13&lt;&gt;"Average Income Test",$I21&lt;VLOOKUP(County,DS_CountyData,14))</formula>
    </cfRule>
  </conditionalFormatting>
  <conditionalFormatting sqref="I48">
    <cfRule type="expression" dxfId="368" priority="60">
      <formula>AND($C$13="Average Income Test",$I$48&gt;60%)</formula>
    </cfRule>
  </conditionalFormatting>
  <conditionalFormatting sqref="A113:K123">
    <cfRule type="expression" dxfId="367" priority="157">
      <formula>$R$113=0</formula>
    </cfRule>
  </conditionalFormatting>
  <conditionalFormatting sqref="J92:K111">
    <cfRule type="expression" dxfId="366" priority="94">
      <formula>$R$113=0</formula>
    </cfRule>
  </conditionalFormatting>
  <conditionalFormatting sqref="I114:I122">
    <cfRule type="expression" dxfId="365" priority="327">
      <formula>$I$113=0</formula>
    </cfRule>
  </conditionalFormatting>
  <conditionalFormatting sqref="J114:K122">
    <cfRule type="expression" dxfId="364" priority="1114">
      <formula>$I$113=0</formula>
    </cfRule>
  </conditionalFormatting>
  <conditionalFormatting sqref="J3">
    <cfRule type="expression" dxfId="363" priority="2" stopIfTrue="1">
      <formula>AND(J3&lt;&gt;"",OR(J3&lt;DS_Min_Units,J3&gt;IF(DS_Max_Units="No Limit",1000,DS_Max_Units)))</formula>
    </cfRule>
  </conditionalFormatting>
  <conditionalFormatting sqref="C6:K6">
    <cfRule type="expression" dxfId="362" priority="12"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13:K13">
    <cfRule type="cellIs" dxfId="361" priority="25" stopIfTrue="1" operator="equal">
      <formula>""</formula>
    </cfRule>
  </conditionalFormatting>
  <conditionalFormatting sqref="I29:I30">
    <cfRule type="expression" dxfId="360" priority="36">
      <formula>LEFT($C$13,3)="20%"</formula>
    </cfRule>
  </conditionalFormatting>
  <conditionalFormatting sqref="F47">
    <cfRule type="expression" dxfId="359" priority="59" stopIfTrue="1">
      <formula>AND(F47&lt;&gt;Total_Units,F47&gt;0,Total_Units&gt;0,Minimum_SetAside_per_Sec_42="Average Income Test")</formula>
    </cfRule>
  </conditionalFormatting>
  <conditionalFormatting sqref="L12 L68">
    <cfRule type="expression" dxfId="358" priority="23">
      <formula>IFERROR(FIND(" NOT ",L12),0)&gt;0</formula>
    </cfRule>
  </conditionalFormatting>
  <conditionalFormatting sqref="L38">
    <cfRule type="expression" dxfId="357" priority="48">
      <formula>IFERROR(FIND("NOT",L38),0)&gt;0</formula>
    </cfRule>
  </conditionalFormatting>
  <conditionalFormatting sqref="B31:K32">
    <cfRule type="expression" dxfId="356" priority="38">
      <formula>$R$27=0</formula>
    </cfRule>
  </conditionalFormatting>
  <conditionalFormatting sqref="B70:K88">
    <cfRule type="expression" dxfId="355" priority="65">
      <formula>$R$70=0</formula>
    </cfRule>
  </conditionalFormatting>
  <conditionalFormatting sqref="I63">
    <cfRule type="expression" dxfId="354" priority="64">
      <formula>LEFT($C$13,3)="20%"</formula>
    </cfRule>
  </conditionalFormatting>
  <conditionalFormatting sqref="B52:K69">
    <cfRule type="expression" dxfId="353" priority="62">
      <formula>$R$52=0</formula>
    </cfRule>
  </conditionalFormatting>
  <conditionalFormatting sqref="F62:H63">
    <cfRule type="cellIs" dxfId="352" priority="63" operator="equal">
      <formula>""</formula>
    </cfRule>
  </conditionalFormatting>
  <conditionalFormatting sqref="L20">
    <cfRule type="expression" dxfId="351" priority="28">
      <formula>AND(Minimum_SetAside_per_Sec_42="Average Income Test",$G33&gt;0)</formula>
    </cfRule>
    <cfRule type="expression" dxfId="350" priority="29">
      <formula>AND(Minimum_SetAside_per_Sec_42="Average Income Test",$G33=0)</formula>
    </cfRule>
  </conditionalFormatting>
  <conditionalFormatting sqref="G21:H31">
    <cfRule type="expression" dxfId="349" priority="31">
      <formula>Minimum_SetAside_per_Sec_42="Average Income Test"</formula>
    </cfRule>
  </conditionalFormatting>
  <conditionalFormatting sqref="L37:O37">
    <cfRule type="expression" dxfId="348" priority="42">
      <formula>AND(Minimum_SetAside_per_Sec_42="Average Income Test",$F47&gt;0)</formula>
    </cfRule>
    <cfRule type="expression" dxfId="347" priority="43">
      <formula>AND(Minimum_SetAside_per_Sec_42&lt;&gt;"&lt;select one&gt;",Minimum_SetAside_per_Sec_42&lt;&gt;"",Minimum_SetAside_per_Sec_42&lt;&gt;"Average Income Test",$F47&gt;0)</formula>
    </cfRule>
  </conditionalFormatting>
  <conditionalFormatting sqref="L110">
    <cfRule type="expression" dxfId="346" priority="142">
      <formula>LEFT(L110,9)="Attention"</formula>
    </cfRule>
  </conditionalFormatting>
  <conditionalFormatting sqref="J85">
    <cfRule type="expression" dxfId="345" priority="92">
      <formula>$R$70=0</formula>
    </cfRule>
  </conditionalFormatting>
  <conditionalFormatting sqref="I85:I86">
    <cfRule type="expression" dxfId="344" priority="89">
      <formula>AND($C$13&lt;&gt;"&lt;select one&gt;",$C$13="Average Income Test")</formula>
    </cfRule>
  </conditionalFormatting>
  <conditionalFormatting sqref="I85:I86">
    <cfRule type="expression" dxfId="343" priority="90">
      <formula>$R$27=0</formula>
    </cfRule>
  </conditionalFormatting>
  <conditionalFormatting sqref="F43:J44">
    <cfRule type="expression" dxfId="342" priority="58">
      <formula>LEFT($J$43,1)="H"</formula>
    </cfRule>
  </conditionalFormatting>
  <conditionalFormatting sqref="I73:I84">
    <cfRule type="expression" dxfId="341" priority="77">
      <formula>OR(AND($C$13&lt;&gt;"Average Income Test",$I73&lt;VLOOKUP(County,DS_CountyData,14)),AND($C$13="Average Income Test",$I73&lt;30%))</formula>
    </cfRule>
    <cfRule type="expression" dxfId="340" priority="78">
      <formula>DS_Gap_AMI_Max&lt;I73</formula>
    </cfRule>
  </conditionalFormatting>
  <conditionalFormatting sqref="F73:H74 F84:H84 F83:G83 F79:H82 F75:F78">
    <cfRule type="expression" dxfId="339" priority="67">
      <formula>DS_Gap_AMI_Max&lt;$I73</formula>
    </cfRule>
  </conditionalFormatting>
  <conditionalFormatting sqref="G82:H82 G84:H84 G83">
    <cfRule type="expression" dxfId="338" priority="88">
      <formula>AND(DS_Gap_AMI_Max&lt;$I82,N(G82)&gt;0)</formula>
    </cfRule>
  </conditionalFormatting>
  <conditionalFormatting sqref="J94:J110">
    <cfRule type="expression" dxfId="337" priority="101">
      <formula>AND(J94&gt;0,N(H94)=0)</formula>
    </cfRule>
  </conditionalFormatting>
  <conditionalFormatting sqref="F38:F44">
    <cfRule type="expression" dxfId="336" priority="45" stopIfTrue="1">
      <formula>AND($F38&gt;0,AND(Minimum_SetAside_per_Sec_42&lt;&gt;"Average Income Test",Minimum_SetAside_per_Sec_42&lt;&gt;"&lt;select one&gt;"))</formula>
    </cfRule>
    <cfRule type="expression" dxfId="335" priority="46">
      <formula>AND(Minimum_SetAside_per_Sec_42&lt;&gt;"&lt;select one&gt;",Minimum_SetAside_per_Sec_42&lt;&gt;"",Minimum_SetAside_per_Sec_42&lt;&gt;"Average Income Test")</formula>
    </cfRule>
  </conditionalFormatting>
  <conditionalFormatting sqref="B30:K30">
    <cfRule type="expression" dxfId="334" priority="37">
      <formula>$R$30=0</formula>
    </cfRule>
  </conditionalFormatting>
  <conditionalFormatting sqref="G73:H84">
    <cfRule type="cellIs" dxfId="333" priority="70" operator="notEqual">
      <formula>""</formula>
    </cfRule>
  </conditionalFormatting>
  <conditionalFormatting sqref="G75:H78">
    <cfRule type="expression" dxfId="332" priority="85">
      <formula>AND($C$13&lt;&gt;"&lt;select one&gt;",$C$13="Average Income Test")</formula>
    </cfRule>
  </conditionalFormatting>
  <conditionalFormatting sqref="G75:G78">
    <cfRule type="expression" dxfId="331" priority="84" stopIfTrue="1">
      <formula>AND($G75&lt;&gt;"",$C$13&lt;&gt;"&lt;select one&gt;",$C$13="Average Income Test")</formula>
    </cfRule>
  </conditionalFormatting>
  <conditionalFormatting sqref="G75:H78">
    <cfRule type="expression" dxfId="330" priority="87">
      <formula>Minimum_SetAside_per_Sec_42="Average Income Test"</formula>
    </cfRule>
  </conditionalFormatting>
  <conditionalFormatting sqref="B18:K34">
    <cfRule type="expression" dxfId="329" priority="26">
      <formula>$R$18=0</formula>
    </cfRule>
  </conditionalFormatting>
  <conditionalFormatting sqref="A12:K17">
    <cfRule type="expression" dxfId="328" priority="19">
      <formula>AND($P$13=0,$R$18=0,$R$35=0,$R$52=0,$R$70=0)</formula>
    </cfRule>
  </conditionalFormatting>
  <conditionalFormatting sqref="B104:K110">
    <cfRule type="expression" dxfId="327" priority="129">
      <formula>$R$104=0</formula>
    </cfRule>
  </conditionalFormatting>
  <conditionalFormatting sqref="B99:K103">
    <cfRule type="expression" dxfId="326" priority="113">
      <formula>$R$99=0</formula>
    </cfRule>
  </conditionalFormatting>
  <conditionalFormatting sqref="A11:K11">
    <cfRule type="expression" dxfId="325" priority="17">
      <formula>$P$13=1</formula>
    </cfRule>
  </conditionalFormatting>
  <dataValidations count="4">
    <dataValidation type="list" allowBlank="1" showInputMessage="1" showErrorMessage="1" sqref="C13:K13" xr:uid="{9686D334-6280-4764-9E4B-E7A5FD6274BB}">
      <formula1>DS_MinIRS_DDMenu</formula1>
    </dataValidation>
    <dataValidation type="list" allowBlank="1" showInputMessage="1" showErrorMessage="1" sqref="C6:K6" xr:uid="{BFABE010-AC0B-4990-BB84-1FE31D29205A}">
      <formula1>DS_Occ_DDMenu</formula1>
    </dataValidation>
    <dataValidation type="custom" allowBlank="1" showInputMessage="1" showErrorMessage="1" sqref="P3" xr:uid="{F3C2320F-09EE-4C0F-9D18-56B35DE82D7A}">
      <formula1>AND(P3&gt;=0,P3&lt;3,P3=ROUND(P3,0))</formula1>
    </dataValidation>
    <dataValidation type="whole" allowBlank="1" showErrorMessage="1" error="Please enter a whole number." sqref="J3" xr:uid="{E2A83ACD-1BD7-4F42-8C0B-20B259C1A999}">
      <formula1>0</formula1>
      <formula2>999</formula2>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ignoredErrors>
    <ignoredError sqref="B12" numberStoredAsText="1"/>
  </ignoredErrors>
  <extLst>
    <ext xmlns:x14="http://schemas.microsoft.com/office/spreadsheetml/2009/9/main" uri="{78C0D931-6437-407d-A8EE-F0AAD7539E65}">
      <x14:conditionalFormattings>
        <x14:conditionalFormatting xmlns:xm="http://schemas.microsoft.com/office/excel/2006/main">
          <x14:cfRule type="expression" priority="35" id="{A0CFB625-6DDC-47C0-AE81-EE8EC2A1F9A2}">
            <xm:f>AND(Minimum_SetAside_per_Sec_42=Data1!$A$339,N($G29)&gt;0)</xm:f>
            <x14:dxf>
              <font>
                <color theme="0" tint="-0.14996795556505021"/>
              </font>
              <fill>
                <patternFill patternType="darkUp">
                  <fgColor theme="0" tint="-0.24994659260841701"/>
                  <bgColor rgb="FFFFDCFF"/>
                </patternFill>
              </fill>
            </x14:dxf>
          </x14:cfRule>
          <xm:sqref>G29:H29</xm:sqref>
        </x14:conditionalFormatting>
        <x14:conditionalFormatting xmlns:xm="http://schemas.microsoft.com/office/excel/2006/main">
          <x14:cfRule type="expression" priority="34" id="{9B7593E2-0DDF-4063-9DB0-1DD1C73126A7}">
            <xm:f>AND(Minimum_SetAside_per_Sec_42=Data1!$A$339,N(F29)=0)</xm:f>
            <x14:dxf>
              <font>
                <color theme="0" tint="-0.34998626667073579"/>
              </font>
              <fill>
                <patternFill patternType="darkUp">
                  <fgColor theme="0" tint="-0.24994659260841701"/>
                  <bgColor auto="1"/>
                </patternFill>
              </fill>
            </x14:dxf>
          </x14:cfRule>
          <xm:sqref>F29:H30</xm:sqref>
        </x14:conditionalFormatting>
        <x14:conditionalFormatting xmlns:xm="http://schemas.microsoft.com/office/excel/2006/main">
          <x14:cfRule type="expression" priority="9" id="{AA56417C-6E95-40F9-A14D-00DBB811BD45}">
            <xm:f>Data1!$E$504="Yes"</xm:f>
            <x14:dxf>
              <font>
                <color theme="0"/>
              </font>
              <fill>
                <patternFill>
                  <bgColor theme="0"/>
                </patternFill>
              </fill>
              <border>
                <left/>
                <right/>
                <top/>
                <bottom/>
                <vertical/>
                <horizontal/>
              </border>
            </x14:dxf>
          </x14:cfRule>
          <xm:sqref>P3:R3 P6:S6 R8 P13:R13 P15:S15 R18 R25:R27 R30:R32 R35 R52 R70 P89:S89 R99 R104 R113:R114 P125:R125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O11"/>
  <sheetViews>
    <sheetView showGridLines="0" zoomScaleNormal="100" zoomScaleSheetLayoutView="100" workbookViewId="0">
      <pane ySplit="2" topLeftCell="A3" activePane="bottomLeft" state="frozen"/>
      <selection pane="bottomLeft" activeCell="A2" sqref="A2"/>
    </sheetView>
  </sheetViews>
  <sheetFormatPr defaultColWidth="8.5546875" defaultRowHeight="14.4"/>
  <cols>
    <col min="1" max="1" width="3" style="42" customWidth="1"/>
    <col min="2" max="3" width="3.5546875" style="42" customWidth="1"/>
    <col min="4" max="4" width="4.44140625" style="42" customWidth="1"/>
    <col min="5" max="12" width="8.5546875" style="42"/>
    <col min="13" max="13" width="11.33203125" style="42" customWidth="1"/>
    <col min="14" max="14" width="8.5546875" style="42"/>
    <col min="15" max="15" width="8.5546875" style="42" customWidth="1"/>
    <col min="16" max="16384" width="8.5546875" style="42"/>
  </cols>
  <sheetData>
    <row r="1" spans="1:15" ht="35.85" customHeight="1" thickBot="1">
      <c r="A1" s="1714" t="s">
        <v>375</v>
      </c>
      <c r="B1" s="1715"/>
      <c r="C1" s="1715"/>
      <c r="D1" s="1715"/>
      <c r="E1" s="1715"/>
      <c r="F1" s="1715"/>
      <c r="G1" s="1715"/>
      <c r="H1" s="1715"/>
      <c r="I1" s="1715"/>
      <c r="J1" s="1715"/>
      <c r="K1" s="1715"/>
      <c r="L1" s="1715"/>
      <c r="M1" s="1715"/>
      <c r="N1" s="1715"/>
      <c r="O1" s="1716"/>
    </row>
    <row r="2" spans="1:15" ht="14.4" customHeight="1">
      <c r="A2" s="4"/>
      <c r="B2" s="4"/>
      <c r="C2" s="4"/>
      <c r="D2" s="4"/>
      <c r="E2" s="4"/>
      <c r="F2" s="4"/>
      <c r="G2" s="4"/>
      <c r="H2" s="4"/>
      <c r="I2" s="4"/>
      <c r="J2" s="4"/>
      <c r="K2" s="4"/>
      <c r="L2" s="4"/>
      <c r="M2" s="4"/>
    </row>
    <row r="3" spans="1:15" ht="14.4" customHeight="1">
      <c r="A3" s="174" t="s">
        <v>213</v>
      </c>
      <c r="B3" s="174" t="s">
        <v>376</v>
      </c>
      <c r="C3" s="174"/>
      <c r="D3" s="174"/>
      <c r="E3" s="4"/>
      <c r="F3" s="4"/>
      <c r="G3" s="4"/>
      <c r="H3" s="4"/>
      <c r="I3" s="4"/>
      <c r="J3" s="4"/>
      <c r="K3" s="4"/>
      <c r="L3" s="4"/>
      <c r="M3" s="4"/>
    </row>
    <row r="4" spans="1:15" ht="30.9" customHeight="1">
      <c r="A4" s="4"/>
      <c r="B4" s="1829" t="s">
        <v>377</v>
      </c>
      <c r="C4" s="1829"/>
      <c r="D4" s="1829"/>
      <c r="E4" s="1829"/>
      <c r="F4" s="1829"/>
      <c r="G4" s="1829"/>
      <c r="H4" s="1829"/>
      <c r="I4" s="1829"/>
      <c r="J4" s="1829"/>
      <c r="K4" s="1829"/>
      <c r="L4" s="1829"/>
      <c r="M4" s="1829"/>
    </row>
    <row r="5" spans="1:15" ht="10.35" customHeight="1">
      <c r="A5" s="4"/>
      <c r="B5" s="4"/>
      <c r="C5" s="4"/>
      <c r="D5" s="4"/>
      <c r="E5" s="4"/>
      <c r="F5" s="4"/>
      <c r="G5" s="4"/>
      <c r="H5" s="4"/>
      <c r="I5" s="4"/>
      <c r="J5" s="4"/>
      <c r="K5" s="4"/>
      <c r="L5" s="4"/>
      <c r="M5" s="4"/>
    </row>
    <row r="6" spans="1:15" ht="14.4" customHeight="1">
      <c r="A6" s="46" t="s">
        <v>222</v>
      </c>
      <c r="B6" s="46" t="s">
        <v>378</v>
      </c>
      <c r="C6" s="46"/>
      <c r="D6" s="46"/>
      <c r="E6" s="4"/>
      <c r="F6" s="4"/>
      <c r="G6" s="4"/>
      <c r="H6" s="4"/>
      <c r="I6" s="4"/>
      <c r="J6" s="4"/>
      <c r="K6" s="4"/>
      <c r="L6" s="4"/>
      <c r="M6" s="4"/>
    </row>
    <row r="7" spans="1:15" ht="10.35" customHeight="1">
      <c r="A7" s="4"/>
      <c r="B7" s="4"/>
      <c r="C7" s="4"/>
      <c r="D7" s="4"/>
      <c r="E7" s="4"/>
      <c r="F7" s="4"/>
      <c r="G7" s="4"/>
      <c r="H7" s="4"/>
      <c r="I7" s="4"/>
      <c r="J7" s="4"/>
      <c r="K7" s="4"/>
      <c r="L7" s="4"/>
      <c r="M7" s="4"/>
    </row>
    <row r="8" spans="1:15" ht="14.4" customHeight="1">
      <c r="A8" s="4"/>
      <c r="B8" s="173" t="s">
        <v>215</v>
      </c>
      <c r="C8" s="4" t="s">
        <v>379</v>
      </c>
      <c r="D8" s="173"/>
      <c r="F8" s="4"/>
      <c r="G8" s="4"/>
      <c r="H8" s="4"/>
      <c r="I8" s="4"/>
      <c r="J8" s="4"/>
      <c r="K8" s="4"/>
      <c r="L8" s="4"/>
      <c r="M8" s="4"/>
    </row>
    <row r="9" spans="1:15" ht="14.4" customHeight="1">
      <c r="A9" s="4"/>
      <c r="B9" s="173" t="s">
        <v>217</v>
      </c>
      <c r="C9" s="4" t="s">
        <v>380</v>
      </c>
      <c r="D9" s="173"/>
      <c r="F9" s="4"/>
      <c r="G9" s="4"/>
      <c r="H9" s="4"/>
      <c r="I9" s="4"/>
      <c r="J9" s="4"/>
      <c r="K9" s="4"/>
      <c r="L9" s="4"/>
      <c r="M9" s="4"/>
    </row>
    <row r="10" spans="1:15" ht="14.4" customHeight="1">
      <c r="A10" s="4"/>
      <c r="B10" s="173" t="s">
        <v>219</v>
      </c>
      <c r="C10" s="4" t="s">
        <v>381</v>
      </c>
      <c r="D10" s="173"/>
      <c r="F10" s="4"/>
      <c r="G10" s="4"/>
      <c r="H10" s="4"/>
      <c r="I10" s="4"/>
      <c r="J10" s="4"/>
      <c r="K10" s="4"/>
      <c r="L10" s="4"/>
      <c r="M10" s="4"/>
    </row>
    <row r="11" spans="1:15" ht="10.35" customHeight="1">
      <c r="A11" s="4"/>
      <c r="B11" s="4"/>
      <c r="C11" s="4"/>
      <c r="D11" s="4"/>
      <c r="E11" s="4"/>
      <c r="F11" s="4"/>
      <c r="G11" s="4"/>
      <c r="H11" s="4"/>
      <c r="I11" s="4"/>
      <c r="J11" s="4"/>
      <c r="K11" s="4"/>
      <c r="L11" s="4"/>
      <c r="M11" s="4"/>
    </row>
  </sheetData>
  <sheetProtection algorithmName="SHA-512" hashValue="PgjxuTpkY4rjkkjYjAV85shvU3xIgtIOs7mBwKbb6Qr5ee3BYx2V0ATiDlDKcvyyiRCP6WG484BWWC6BJtbsJQ==" saltValue="OXBERe1pOiHloXNxRZZ71g==" spinCount="100000" sheet="1" formatRows="0" selectLockedCells="1"/>
  <mergeCells count="2">
    <mergeCell ref="B4:M4"/>
    <mergeCell ref="A1:O1"/>
  </mergeCell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ignoredErrors>
    <ignoredError sqref="B8:B10" numberStoredAsText="1"/>
  </ignoredError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Z35"/>
  <sheetViews>
    <sheetView showGridLines="0" zoomScaleNormal="100" zoomScaleSheetLayoutView="100" workbookViewId="0">
      <pane ySplit="2" topLeftCell="A4" activePane="bottomLeft" state="frozen"/>
      <selection pane="bottomLeft" activeCell="A2" sqref="A2"/>
    </sheetView>
  </sheetViews>
  <sheetFormatPr defaultColWidth="8.5546875" defaultRowHeight="14.4"/>
  <cols>
    <col min="1" max="1" width="3" style="42" customWidth="1"/>
    <col min="2" max="3" width="3.5546875" style="42" customWidth="1"/>
    <col min="4" max="6" width="4.44140625" style="42" customWidth="1"/>
    <col min="7" max="7" width="73.5546875" style="42" customWidth="1"/>
    <col min="8" max="8" width="8.88671875" style="42" customWidth="1"/>
    <col min="9" max="9" width="5.5546875" style="42" customWidth="1"/>
    <col min="10" max="10" width="8.77734375" style="42" customWidth="1"/>
    <col min="11" max="12" width="3.5546875" style="42" customWidth="1"/>
    <col min="13" max="13" width="31.5546875" style="42" customWidth="1"/>
    <col min="14" max="16384" width="8.5546875" style="42"/>
  </cols>
  <sheetData>
    <row r="1" spans="1:26" ht="35.85" customHeight="1" thickBot="1">
      <c r="A1" s="1714" t="s">
        <v>382</v>
      </c>
      <c r="B1" s="1715"/>
      <c r="C1" s="1715"/>
      <c r="D1" s="1715"/>
      <c r="E1" s="1715"/>
      <c r="F1" s="1715"/>
      <c r="G1" s="1715"/>
      <c r="H1" s="1715"/>
      <c r="I1" s="1716"/>
      <c r="J1" s="64"/>
      <c r="K1" s="1829" t="str">
        <f>"There are "&amp;TEXT(COUNTIF($K$12:$K$29,"=1"),"0")&amp;" required input fields and "&amp;TEXT(COUNTIF($K$12:$K$29,"=2"),"0")&amp;" optional input fields on this tab."&amp;CHAR(10)&amp;"There "&amp;IF(COUNTIFS($K$12:$K$29,"=1",$L$12:$L$29,"=1")=1,"is 1 required input field","are "&amp;TEXT(COUNTIFS($K$12:$K$29,"=1",$L$12:$L$29,"=1"),"0")&amp;" required input fields")&amp;" and "&amp;TEXT(COUNTIFS($K$12:$K$29,"=2",$L$12:$L$29,"=2"),"0")&amp;" optional input field"&amp;IF(COUNTIFS($K$12:$K$29,"=2",$L$12:$L$29,"=2")=1," with an entry","s with entries")&amp;" on this tab."&amp;CHAR(10)&amp;"There "&amp;IF(Data1!G506=1,"is ","are ")&amp;TEXT(Data1!G506,"0")&amp;" required input field"&amp;IF(Data1!G506=1," that need an entry","s that need entries")&amp;" and "&amp;TEXT(Data1!H506,"0")&amp;" optional input field"&amp;IF(Data1!H506=1," that may or may not need an entry","s that may or may not need entries")&amp;" on this tab."</f>
        <v>There are 0 required input fields and 12 optional input fields on this tab.
There are 0 required input fields and 0 optional input fields with entries on this tab.
There are 0 required input fields that need entries and 12 optional input fields that may or may not need entries on this tab.</v>
      </c>
      <c r="L1" s="1829"/>
      <c r="M1" s="1829"/>
      <c r="N1" s="1829"/>
      <c r="O1" s="1829"/>
      <c r="P1" s="1829"/>
      <c r="Q1" s="1829"/>
      <c r="R1" s="1829"/>
      <c r="S1" s="1829"/>
      <c r="T1" s="1829"/>
      <c r="U1" s="1829"/>
      <c r="V1" s="583"/>
      <c r="W1" s="583"/>
      <c r="X1" s="583"/>
      <c r="Y1" s="583"/>
      <c r="Z1" s="583"/>
    </row>
    <row r="2" spans="1:26" ht="14.4" customHeight="1">
      <c r="K2" s="1829"/>
      <c r="L2" s="1829"/>
      <c r="M2" s="1829"/>
      <c r="N2" s="1829"/>
      <c r="O2" s="1829"/>
      <c r="P2" s="1829"/>
      <c r="Q2" s="1829"/>
      <c r="R2" s="1829"/>
      <c r="S2" s="1829"/>
      <c r="T2" s="1829"/>
      <c r="U2" s="1829"/>
      <c r="V2" s="583"/>
      <c r="W2" s="583"/>
      <c r="X2" s="583"/>
      <c r="Y2" s="583"/>
      <c r="Z2" s="583"/>
    </row>
    <row r="3" spans="1:26" ht="14.4" customHeight="1">
      <c r="A3" s="174" t="s">
        <v>213</v>
      </c>
      <c r="B3" s="1830" t="s">
        <v>383</v>
      </c>
      <c r="C3" s="1830"/>
      <c r="D3" s="1830"/>
      <c r="E3" s="1830"/>
      <c r="F3" s="1830"/>
      <c r="G3" s="1830"/>
      <c r="H3" s="1830"/>
      <c r="I3" s="1830"/>
      <c r="K3" s="1631"/>
    </row>
    <row r="4" spans="1:26" ht="10.35" customHeight="1">
      <c r="A4" s="6"/>
      <c r="B4" s="143"/>
      <c r="C4" s="159"/>
      <c r="D4" s="159"/>
      <c r="E4" s="373"/>
      <c r="F4" s="373"/>
      <c r="G4" s="143"/>
      <c r="H4" s="4"/>
    </row>
    <row r="5" spans="1:26" ht="14.4" customHeight="1">
      <c r="A5" s="46" t="s">
        <v>222</v>
      </c>
      <c r="B5" s="1830" t="s">
        <v>384</v>
      </c>
      <c r="C5" s="1830"/>
      <c r="D5" s="1830"/>
      <c r="E5" s="1830"/>
      <c r="F5" s="1830"/>
      <c r="G5" s="1830"/>
      <c r="H5" s="1830"/>
      <c r="I5" s="1830"/>
    </row>
    <row r="6" spans="1:26" ht="12.75" customHeight="1">
      <c r="A6" s="4"/>
      <c r="B6" s="6"/>
      <c r="C6" s="6"/>
      <c r="D6" s="6"/>
      <c r="E6" s="374"/>
      <c r="F6" s="374"/>
      <c r="G6" s="4"/>
      <c r="H6" s="4"/>
    </row>
    <row r="7" spans="1:26" ht="14.4" customHeight="1">
      <c r="A7" s="174" t="s">
        <v>238</v>
      </c>
      <c r="B7" s="1830" t="s">
        <v>1935</v>
      </c>
      <c r="C7" s="1830"/>
      <c r="D7" s="1830"/>
      <c r="E7" s="1830"/>
      <c r="F7" s="1830"/>
      <c r="G7" s="1830"/>
      <c r="H7" s="1830"/>
      <c r="I7" s="1830"/>
    </row>
    <row r="8" spans="1:26" ht="10.35" customHeight="1">
      <c r="A8" s="6"/>
      <c r="B8" s="143"/>
      <c r="C8" s="159"/>
      <c r="D8" s="159"/>
      <c r="E8" s="373"/>
      <c r="F8" s="373"/>
      <c r="G8" s="143"/>
      <c r="H8" s="4"/>
    </row>
    <row r="9" spans="1:26" ht="14.4" customHeight="1">
      <c r="A9" s="46" t="s">
        <v>244</v>
      </c>
      <c r="B9" s="1830" t="s">
        <v>385</v>
      </c>
      <c r="C9" s="1830"/>
      <c r="D9" s="1830"/>
      <c r="E9" s="1830"/>
      <c r="F9" s="1830"/>
      <c r="G9" s="1830"/>
      <c r="H9" s="1830"/>
      <c r="I9" s="1830"/>
    </row>
    <row r="10" spans="1:26" ht="17.399999999999999" customHeight="1">
      <c r="A10" s="4"/>
      <c r="B10" s="1445">
        <v>1</v>
      </c>
      <c r="C10" s="6" t="s">
        <v>1994</v>
      </c>
      <c r="D10" s="133"/>
      <c r="E10" s="133"/>
      <c r="F10" s="133"/>
      <c r="H10" s="4"/>
      <c r="M10" s="1444"/>
    </row>
    <row r="11" spans="1:26" ht="14.4" hidden="1" customHeight="1">
      <c r="A11" s="1433"/>
      <c r="B11" s="1445" t="str">
        <f>IF($K12=0,"",MAX(B$10:B10)+1)</f>
        <v/>
      </c>
      <c r="C11" s="160" t="s">
        <v>386</v>
      </c>
      <c r="D11" s="133"/>
      <c r="E11" s="133"/>
      <c r="F11" s="133"/>
      <c r="H11" s="4"/>
    </row>
    <row r="12" spans="1:26" ht="17.399999999999999" hidden="1" customHeight="1">
      <c r="A12" s="963"/>
      <c r="B12" s="1038"/>
      <c r="C12" s="1836" t="s">
        <v>2</v>
      </c>
      <c r="D12" s="1836"/>
      <c r="E12" s="1836"/>
      <c r="F12" s="1836"/>
      <c r="G12" s="1836"/>
      <c r="H12" s="1836"/>
      <c r="K12" s="588">
        <v>0</v>
      </c>
      <c r="L12" s="390">
        <f>IF(C12&lt;&gt;"&lt;select one&gt;",K12,0)</f>
        <v>0</v>
      </c>
      <c r="M12" s="566" t="str">
        <f>CHOOSE(K12+1,"Not to be included in this RFA","A REQUIRED input field for this RFA","An OPTIONAL input field for this RFA")</f>
        <v>Not to be included in this RFA</v>
      </c>
    </row>
    <row r="13" spans="1:26" ht="45" customHeight="1">
      <c r="A13" s="963"/>
      <c r="B13" s="1445">
        <f>IF(SUM(K14:K29)=0,"",MAX(B$10:B12)+1)</f>
        <v>2</v>
      </c>
      <c r="C13" s="1952" t="s">
        <v>1995</v>
      </c>
      <c r="D13" s="1952"/>
      <c r="E13" s="1952"/>
      <c r="F13" s="1952"/>
      <c r="G13" s="1952"/>
      <c r="H13" s="1952"/>
      <c r="K13" s="1364"/>
      <c r="L13" s="1364"/>
      <c r="M13" s="1364"/>
    </row>
    <row r="14" spans="1:26" ht="17.399999999999999" customHeight="1">
      <c r="A14" s="4"/>
      <c r="B14" s="4"/>
      <c r="C14" s="403"/>
      <c r="D14" s="4"/>
      <c r="E14" s="2012" t="s">
        <v>387</v>
      </c>
      <c r="F14" s="2012"/>
      <c r="G14" s="2012"/>
      <c r="H14" s="449">
        <v>2</v>
      </c>
      <c r="K14" s="588">
        <v>2</v>
      </c>
      <c r="L14" s="390">
        <f>IF(Data1!B439=TRUE,K14,0)</f>
        <v>0</v>
      </c>
      <c r="M14" s="566" t="str">
        <f t="shared" ref="M14:M23" si="0">CHOOSE(K14+1,"Not to be included in this RFA","A REQUIRED input field for this RFA","An OPTIONAL input field for this RFA")</f>
        <v>An OPTIONAL input field for this RFA</v>
      </c>
    </row>
    <row r="15" spans="1:26" ht="17.399999999999999" customHeight="1">
      <c r="A15" s="4"/>
      <c r="B15" s="4"/>
      <c r="C15" s="403"/>
      <c r="D15" s="4"/>
      <c r="E15" s="2012" t="s">
        <v>388</v>
      </c>
      <c r="F15" s="2012"/>
      <c r="G15" s="2012"/>
      <c r="H15" s="449">
        <v>2</v>
      </c>
      <c r="K15" s="588">
        <v>2</v>
      </c>
      <c r="L15" s="390">
        <f>IF(Data1!B440=TRUE,K15,0)</f>
        <v>0</v>
      </c>
      <c r="M15" s="566" t="str">
        <f t="shared" si="0"/>
        <v>An OPTIONAL input field for this RFA</v>
      </c>
    </row>
    <row r="16" spans="1:26" ht="17.399999999999999" customHeight="1">
      <c r="A16" s="4"/>
      <c r="B16" s="4"/>
      <c r="C16" s="403"/>
      <c r="D16" s="4"/>
      <c r="E16" s="2012" t="s">
        <v>389</v>
      </c>
      <c r="F16" s="2012"/>
      <c r="G16" s="2012"/>
      <c r="H16" s="449">
        <v>2</v>
      </c>
      <c r="K16" s="588">
        <v>2</v>
      </c>
      <c r="L16" s="390">
        <f>IF(Data1!B441=TRUE,K16,0)</f>
        <v>0</v>
      </c>
      <c r="M16" s="566" t="str">
        <f t="shared" si="0"/>
        <v>An OPTIONAL input field for this RFA</v>
      </c>
    </row>
    <row r="17" spans="1:13" ht="17.399999999999999" customHeight="1">
      <c r="A17" s="4"/>
      <c r="B17" s="4"/>
      <c r="C17" s="403"/>
      <c r="D17" s="4"/>
      <c r="E17" s="2012" t="s">
        <v>390</v>
      </c>
      <c r="F17" s="2012"/>
      <c r="G17" s="2012"/>
      <c r="H17" s="449">
        <v>2</v>
      </c>
      <c r="K17" s="588">
        <v>2</v>
      </c>
      <c r="L17" s="390">
        <f>IF(Data1!B442=TRUE,K17,0)</f>
        <v>0</v>
      </c>
      <c r="M17" s="566" t="str">
        <f t="shared" si="0"/>
        <v>An OPTIONAL input field for this RFA</v>
      </c>
    </row>
    <row r="18" spans="1:13" ht="17.399999999999999" customHeight="1">
      <c r="A18" s="4"/>
      <c r="B18" s="4"/>
      <c r="C18" s="403"/>
      <c r="D18" s="4"/>
      <c r="E18" s="2012" t="s">
        <v>391</v>
      </c>
      <c r="F18" s="2012"/>
      <c r="G18" s="2012"/>
      <c r="H18" s="449">
        <v>2</v>
      </c>
      <c r="K18" s="588">
        <v>2</v>
      </c>
      <c r="L18" s="390">
        <f>IF(Data1!B443=TRUE,K18,0)</f>
        <v>0</v>
      </c>
      <c r="M18" s="566" t="str">
        <f t="shared" si="0"/>
        <v>An OPTIONAL input field for this RFA</v>
      </c>
    </row>
    <row r="19" spans="1:13" ht="17.399999999999999" customHeight="1">
      <c r="A19" s="4"/>
      <c r="B19" s="4"/>
      <c r="C19" s="403"/>
      <c r="D19" s="4"/>
      <c r="E19" s="2012" t="s">
        <v>392</v>
      </c>
      <c r="F19" s="2012"/>
      <c r="G19" s="2012"/>
      <c r="H19" s="449">
        <v>3</v>
      </c>
      <c r="K19" s="588">
        <v>2</v>
      </c>
      <c r="L19" s="390">
        <f>IF(Data1!B444=TRUE,K19,0)</f>
        <v>0</v>
      </c>
      <c r="M19" s="566" t="str">
        <f t="shared" si="0"/>
        <v>An OPTIONAL input field for this RFA</v>
      </c>
    </row>
    <row r="20" spans="1:13" ht="52.35" customHeight="1">
      <c r="A20" s="4"/>
      <c r="B20" s="4"/>
      <c r="C20" s="403"/>
      <c r="D20" s="4"/>
      <c r="E20" s="1826" t="s">
        <v>393</v>
      </c>
      <c r="F20" s="1826"/>
      <c r="G20" s="1826"/>
      <c r="H20" s="449">
        <v>3</v>
      </c>
      <c r="K20" s="588">
        <v>2</v>
      </c>
      <c r="L20" s="390">
        <f>IF(Data1!B445=TRUE,K20,0)</f>
        <v>0</v>
      </c>
      <c r="M20" s="566" t="str">
        <f t="shared" si="0"/>
        <v>An OPTIONAL input field for this RFA</v>
      </c>
    </row>
    <row r="21" spans="1:13" ht="35.1" customHeight="1">
      <c r="A21" s="4"/>
      <c r="B21" s="4"/>
      <c r="C21" s="403"/>
      <c r="D21" s="4"/>
      <c r="E21" s="1826" t="s">
        <v>394</v>
      </c>
      <c r="F21" s="1826"/>
      <c r="G21" s="1826"/>
      <c r="H21" s="449">
        <v>3</v>
      </c>
      <c r="K21" s="588">
        <v>2</v>
      </c>
      <c r="L21" s="390">
        <f>IF(Data1!B446=TRUE,K21,0)</f>
        <v>0</v>
      </c>
      <c r="M21" s="566" t="str">
        <f t="shared" si="0"/>
        <v>An OPTIONAL input field for this RFA</v>
      </c>
    </row>
    <row r="22" spans="1:13" ht="17.399999999999999" customHeight="1">
      <c r="A22" s="4"/>
      <c r="B22" s="4"/>
      <c r="C22" s="403"/>
      <c r="D22" s="4"/>
      <c r="E22" s="2012" t="s">
        <v>395</v>
      </c>
      <c r="F22" s="2012"/>
      <c r="G22" s="2012"/>
      <c r="H22" s="449">
        <v>2</v>
      </c>
      <c r="K22" s="588">
        <v>2</v>
      </c>
      <c r="L22" s="390">
        <f>IF(Data1!B447=TRUE,K22,0)</f>
        <v>0</v>
      </c>
      <c r="M22" s="566" t="str">
        <f t="shared" si="0"/>
        <v>An OPTIONAL input field for this RFA</v>
      </c>
    </row>
    <row r="23" spans="1:13" ht="17.399999999999999" customHeight="1">
      <c r="A23" s="4"/>
      <c r="B23" s="4"/>
      <c r="C23" s="403"/>
      <c r="D23" s="4"/>
      <c r="E23" s="35" t="s">
        <v>895</v>
      </c>
      <c r="F23" s="35"/>
      <c r="G23" s="35"/>
      <c r="H23" s="449">
        <v>3</v>
      </c>
      <c r="K23" s="588">
        <v>2</v>
      </c>
      <c r="L23" s="390">
        <f>IF(Data1!B448=TRUE,K23,0)</f>
        <v>0</v>
      </c>
      <c r="M23" s="566" t="str">
        <f t="shared" si="0"/>
        <v>An OPTIONAL input field for this RFA</v>
      </c>
    </row>
    <row r="24" spans="1:13" ht="35.1" customHeight="1">
      <c r="A24" s="4"/>
      <c r="B24" s="4"/>
      <c r="C24" s="374"/>
      <c r="D24" s="4"/>
      <c r="E24" s="35" t="s">
        <v>892</v>
      </c>
      <c r="F24" s="1826" t="s">
        <v>891</v>
      </c>
      <c r="G24" s="1826"/>
      <c r="H24" s="374"/>
      <c r="J24" s="1661"/>
    </row>
    <row r="25" spans="1:13" ht="17.399999999999999" customHeight="1">
      <c r="A25" s="4"/>
      <c r="B25" s="4"/>
      <c r="C25" s="374"/>
      <c r="D25" s="4"/>
      <c r="E25" s="35" t="s">
        <v>892</v>
      </c>
      <c r="F25" s="35" t="s">
        <v>1996</v>
      </c>
      <c r="G25" s="35"/>
      <c r="H25" s="374"/>
      <c r="J25" s="1661"/>
    </row>
    <row r="26" spans="1:13" ht="17.399999999999999" customHeight="1">
      <c r="A26" s="4"/>
      <c r="B26" s="4"/>
      <c r="C26" s="374"/>
      <c r="D26" s="4"/>
      <c r="E26" s="35"/>
      <c r="F26" s="401" t="s">
        <v>890</v>
      </c>
      <c r="G26" s="35" t="s">
        <v>893</v>
      </c>
      <c r="H26" s="374"/>
      <c r="J26" s="1661"/>
    </row>
    <row r="27" spans="1:13" ht="35.1" customHeight="1">
      <c r="A27" s="4"/>
      <c r="B27" s="4"/>
      <c r="C27" s="374"/>
      <c r="D27" s="4"/>
      <c r="E27" s="374"/>
      <c r="F27" s="401" t="s">
        <v>890</v>
      </c>
      <c r="G27" s="400" t="s">
        <v>894</v>
      </c>
      <c r="H27" s="402"/>
      <c r="J27" s="1661"/>
    </row>
    <row r="28" spans="1:13" ht="17.399999999999999" customHeight="1">
      <c r="A28" s="4"/>
      <c r="B28" s="4"/>
      <c r="C28" s="403"/>
      <c r="D28" s="4"/>
      <c r="E28" s="1850" t="s">
        <v>396</v>
      </c>
      <c r="F28" s="1850"/>
      <c r="G28" s="1850"/>
      <c r="H28" s="449">
        <v>2</v>
      </c>
      <c r="K28" s="588">
        <v>2</v>
      </c>
      <c r="L28" s="390">
        <f>IF(Data1!B453=TRUE,K28,0)</f>
        <v>0</v>
      </c>
      <c r="M28" s="566" t="str">
        <f>CHOOSE(K28+1,"Not to be included in this RFA","A REQUIRED input field for this RFA","An OPTIONAL input field for this RFA")</f>
        <v>An OPTIONAL input field for this RFA</v>
      </c>
    </row>
    <row r="29" spans="1:13" ht="17.399999999999999" customHeight="1">
      <c r="A29" s="4"/>
      <c r="B29" s="4"/>
      <c r="C29" s="403"/>
      <c r="D29" s="4"/>
      <c r="E29" s="1828" t="s">
        <v>397</v>
      </c>
      <c r="F29" s="1828"/>
      <c r="G29" s="1828"/>
      <c r="H29" s="449">
        <v>2</v>
      </c>
      <c r="K29" s="588">
        <v>2</v>
      </c>
      <c r="L29" s="390">
        <f>IF(Data1!B454=TRUE,K29,0)</f>
        <v>0</v>
      </c>
      <c r="M29" s="566" t="str">
        <f>CHOOSE(K29+1,"Not to be included in this RFA","A REQUIRED input field for this RFA","An OPTIONAL input field for this RFA")</f>
        <v>An OPTIONAL input field for this RFA</v>
      </c>
    </row>
    <row r="30" spans="1:13" ht="14.4" customHeight="1" thickBot="1">
      <c r="A30" s="963"/>
      <c r="B30" s="4"/>
      <c r="C30" s="4"/>
      <c r="D30" s="1848" t="str">
        <f>IF(H31&lt;10,"Please select options that total at least 10 points from the above Green Building Features before proceeding","")</f>
        <v>Please select options that total at least 10 points from the above Green Building Features before proceeding</v>
      </c>
      <c r="E30" s="1848"/>
      <c r="F30" s="1848"/>
      <c r="G30" s="1848"/>
      <c r="H30" s="1848"/>
    </row>
    <row r="31" spans="1:13" ht="17.399999999999999" customHeight="1" thickTop="1">
      <c r="A31" s="963"/>
      <c r="B31" s="4"/>
      <c r="C31" s="4"/>
      <c r="D31" s="4"/>
      <c r="E31" s="4"/>
      <c r="F31" s="4"/>
      <c r="G31" s="448" t="s">
        <v>398</v>
      </c>
      <c r="H31" s="450">
        <f>SUMIF(Data1!B439:B454,TRUE,H14:H29)</f>
        <v>0</v>
      </c>
      <c r="I31" s="55"/>
    </row>
    <row r="32" spans="1:13" ht="10.35" customHeight="1">
      <c r="A32" s="963"/>
      <c r="B32" s="4"/>
      <c r="C32" s="4"/>
      <c r="D32" s="4"/>
      <c r="E32" s="4"/>
      <c r="F32" s="4"/>
      <c r="G32" s="3"/>
      <c r="H32" s="4"/>
    </row>
    <row r="33" spans="1:8" ht="14.4" customHeight="1">
      <c r="A33" s="963"/>
      <c r="B33" s="374" t="s">
        <v>399</v>
      </c>
      <c r="C33" s="2011" t="s">
        <v>400</v>
      </c>
      <c r="D33" s="2011"/>
      <c r="E33" s="2011"/>
      <c r="F33" s="2011"/>
      <c r="G33" s="2011"/>
      <c r="H33" s="4"/>
    </row>
    <row r="34" spans="1:8" ht="30" customHeight="1">
      <c r="A34" s="963"/>
      <c r="B34" s="6" t="s">
        <v>401</v>
      </c>
      <c r="C34" s="2013" t="s">
        <v>402</v>
      </c>
      <c r="D34" s="2013"/>
      <c r="E34" s="2013"/>
      <c r="F34" s="2013"/>
      <c r="G34" s="2013"/>
      <c r="H34" s="4"/>
    </row>
    <row r="35" spans="1:8" ht="10.35" customHeight="1">
      <c r="A35" s="4"/>
      <c r="B35" s="4"/>
      <c r="C35" s="4"/>
      <c r="D35" s="4"/>
      <c r="E35" s="4"/>
      <c r="F35" s="4"/>
      <c r="G35" s="4"/>
      <c r="H35" s="4"/>
    </row>
  </sheetData>
  <sheetProtection algorithmName="SHA-512" hashValue="IXVR3WUDzDp5hU2GoxzwqVP0zWyglIn3DKOWnYQxZ3xmgkSTlyCBRlgdRCtkrrVSkAWs2+z82r5g2kjnuW+oBA==" saltValue="m/gdv85iKSeGx+ijMmtUng==" spinCount="100000" sheet="1" formatRows="0" selectLockedCells="1"/>
  <mergeCells count="23">
    <mergeCell ref="B9:I9"/>
    <mergeCell ref="C34:G34"/>
    <mergeCell ref="D30:H30"/>
    <mergeCell ref="E19:G19"/>
    <mergeCell ref="E20:G20"/>
    <mergeCell ref="E21:G21"/>
    <mergeCell ref="E22:G22"/>
    <mergeCell ref="K1:U2"/>
    <mergeCell ref="E29:G29"/>
    <mergeCell ref="E28:G28"/>
    <mergeCell ref="F24:G24"/>
    <mergeCell ref="C33:G33"/>
    <mergeCell ref="C13:H13"/>
    <mergeCell ref="E14:G14"/>
    <mergeCell ref="E15:G15"/>
    <mergeCell ref="E16:G16"/>
    <mergeCell ref="E17:G17"/>
    <mergeCell ref="E18:G18"/>
    <mergeCell ref="A1:I1"/>
    <mergeCell ref="C12:H12"/>
    <mergeCell ref="B3:I3"/>
    <mergeCell ref="B5:I5"/>
    <mergeCell ref="B7:I7"/>
  </mergeCells>
  <conditionalFormatting sqref="D30">
    <cfRule type="cellIs" dxfId="321" priority="23" operator="equal">
      <formula>"Please select options that total at least 10 points from the above Green Building Features before proceeding"</formula>
    </cfRule>
  </conditionalFormatting>
  <conditionalFormatting sqref="B11:H12">
    <cfRule type="expression" dxfId="320" priority="2">
      <formula>$K$12=0</formula>
    </cfRule>
  </conditionalFormatting>
  <conditionalFormatting sqref="C28:H29 C14:H22">
    <cfRule type="expression" dxfId="319" priority="1257">
      <formula>$K14=0</formula>
    </cfRule>
  </conditionalFormatting>
  <conditionalFormatting sqref="C23:H27">
    <cfRule type="expression" dxfId="318" priority="1259">
      <formula>$K$23=0</formula>
    </cfRule>
  </conditionalFormatting>
  <conditionalFormatting sqref="J24:J27">
    <cfRule type="expression" dxfId="317" priority="1267">
      <formula>NOT(ISBLANK($J$24:$J$27))</formula>
    </cfRule>
  </conditionalFormatting>
  <dataValidations count="3">
    <dataValidation type="list" allowBlank="1" showInputMessage="1" showErrorMessage="1" sqref="C12" xr:uid="{CFD94D85-0434-4E1C-814F-C4F4350DBC84}">
      <formula1>DS_Green_DDMenu</formula1>
    </dataValidation>
    <dataValidation type="list" allowBlank="1" showDropDown="1" showErrorMessage="1" error="To select this Resident Program, type in &quot;x&quot;." sqref="C14:C23 C28:C29" xr:uid="{DD2D25D6-E408-4452-9CC2-D80E62ADEBF4}">
      <formula1>"x,X"</formula1>
    </dataValidation>
    <dataValidation type="custom" allowBlank="1" showInputMessage="1" showErrorMessage="1" sqref="K12 K14:K23 K28:K29" xr:uid="{DEC48FF7-0C76-4351-9CD2-5F0BA6ED59E1}">
      <formula1>AND(K12&gt;=0,K12&lt;3,K12=ROUND(K12,0))</formula1>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13</xdr:row>
                    <xdr:rowOff>0</xdr:rowOff>
                  </from>
                  <to>
                    <xdr:col>5</xdr:col>
                    <xdr:colOff>68580</xdr:colOff>
                    <xdr:row>14</xdr:row>
                    <xdr:rowOff>0</xdr:rowOff>
                  </to>
                </anchor>
              </controlPr>
            </control>
          </mc:Choice>
        </mc:AlternateContent>
        <mc:AlternateContent xmlns:mc="http://schemas.openxmlformats.org/markup-compatibility/2006">
          <mc:Choice Requires="x14">
            <control shapeId="48130" r:id="rId5" name="Check Box 2">
              <controlPr locked="0" defaultSize="0" autoFill="0" autoLine="0" autoPict="0" altText="">
                <anchor moveWithCells="1">
                  <from>
                    <xdr:col>2</xdr:col>
                    <xdr:colOff>38100</xdr:colOff>
                    <xdr:row>13</xdr:row>
                    <xdr:rowOff>220980</xdr:rowOff>
                  </from>
                  <to>
                    <xdr:col>5</xdr:col>
                    <xdr:colOff>68580</xdr:colOff>
                    <xdr:row>15</xdr:row>
                    <xdr:rowOff>0</xdr:rowOff>
                  </to>
                </anchor>
              </controlPr>
            </control>
          </mc:Choice>
        </mc:AlternateContent>
        <mc:AlternateContent xmlns:mc="http://schemas.openxmlformats.org/markup-compatibility/2006">
          <mc:Choice Requires="x14">
            <control shapeId="48131" r:id="rId6" name="Check Box 3">
              <controlPr locked="0" defaultSize="0" autoFill="0" autoLine="0" autoPict="0" altText="">
                <anchor moveWithCells="1">
                  <from>
                    <xdr:col>2</xdr:col>
                    <xdr:colOff>38100</xdr:colOff>
                    <xdr:row>14</xdr:row>
                    <xdr:rowOff>220980</xdr:rowOff>
                  </from>
                  <to>
                    <xdr:col>5</xdr:col>
                    <xdr:colOff>68580</xdr:colOff>
                    <xdr:row>16</xdr:row>
                    <xdr:rowOff>0</xdr:rowOff>
                  </to>
                </anchor>
              </controlPr>
            </control>
          </mc:Choice>
        </mc:AlternateContent>
        <mc:AlternateContent xmlns:mc="http://schemas.openxmlformats.org/markup-compatibility/2006">
          <mc:Choice Requires="x14">
            <control shapeId="48132" r:id="rId7" name="Check Box 4">
              <controlPr locked="0" defaultSize="0" autoFill="0" autoLine="0" autoPict="0" altText="">
                <anchor moveWithCells="1">
                  <from>
                    <xdr:col>2</xdr:col>
                    <xdr:colOff>38100</xdr:colOff>
                    <xdr:row>15</xdr:row>
                    <xdr:rowOff>220980</xdr:rowOff>
                  </from>
                  <to>
                    <xdr:col>5</xdr:col>
                    <xdr:colOff>68580</xdr:colOff>
                    <xdr:row>17</xdr:row>
                    <xdr:rowOff>0</xdr:rowOff>
                  </to>
                </anchor>
              </controlPr>
            </control>
          </mc:Choice>
        </mc:AlternateContent>
        <mc:AlternateContent xmlns:mc="http://schemas.openxmlformats.org/markup-compatibility/2006">
          <mc:Choice Requires="x14">
            <control shapeId="48133" r:id="rId8" name="Check Box 5">
              <controlPr locked="0" defaultSize="0" autoFill="0" autoLine="0" autoPict="0" altText="">
                <anchor moveWithCells="1">
                  <from>
                    <xdr:col>2</xdr:col>
                    <xdr:colOff>38100</xdr:colOff>
                    <xdr:row>16</xdr:row>
                    <xdr:rowOff>220980</xdr:rowOff>
                  </from>
                  <to>
                    <xdr:col>5</xdr:col>
                    <xdr:colOff>68580</xdr:colOff>
                    <xdr:row>18</xdr:row>
                    <xdr:rowOff>0</xdr:rowOff>
                  </to>
                </anchor>
              </controlPr>
            </control>
          </mc:Choice>
        </mc:AlternateContent>
        <mc:AlternateContent xmlns:mc="http://schemas.openxmlformats.org/markup-compatibility/2006">
          <mc:Choice Requires="x14">
            <control shapeId="48134" r:id="rId9" name="Check Box 6">
              <controlPr locked="0" defaultSize="0" autoFill="0" autoLine="0" autoPict="0" altText="">
                <anchor moveWithCells="1">
                  <from>
                    <xdr:col>2</xdr:col>
                    <xdr:colOff>38100</xdr:colOff>
                    <xdr:row>17</xdr:row>
                    <xdr:rowOff>220980</xdr:rowOff>
                  </from>
                  <to>
                    <xdr:col>5</xdr:col>
                    <xdr:colOff>68580</xdr:colOff>
                    <xdr:row>19</xdr:row>
                    <xdr:rowOff>0</xdr:rowOff>
                  </to>
                </anchor>
              </controlPr>
            </control>
          </mc:Choice>
        </mc:AlternateContent>
        <mc:AlternateContent xmlns:mc="http://schemas.openxmlformats.org/markup-compatibility/2006">
          <mc:Choice Requires="x14">
            <control shapeId="48135" r:id="rId10" name="Check Box 7">
              <controlPr locked="0" defaultSize="0" autoFill="0" autoLine="0" autoPict="0" altText="">
                <anchor moveWithCells="1">
                  <from>
                    <xdr:col>2</xdr:col>
                    <xdr:colOff>38100</xdr:colOff>
                    <xdr:row>18</xdr:row>
                    <xdr:rowOff>220980</xdr:rowOff>
                  </from>
                  <to>
                    <xdr:col>5</xdr:col>
                    <xdr:colOff>68580</xdr:colOff>
                    <xdr:row>19</xdr:row>
                    <xdr:rowOff>220980</xdr:rowOff>
                  </to>
                </anchor>
              </controlPr>
            </control>
          </mc:Choice>
        </mc:AlternateContent>
        <mc:AlternateContent xmlns:mc="http://schemas.openxmlformats.org/markup-compatibility/2006">
          <mc:Choice Requires="x14">
            <control shapeId="48136" r:id="rId11" name="Check Box 8">
              <controlPr locked="0" defaultSize="0" autoFill="0" autoLine="0" autoPict="0" altText="">
                <anchor moveWithCells="1">
                  <from>
                    <xdr:col>2</xdr:col>
                    <xdr:colOff>38100</xdr:colOff>
                    <xdr:row>19</xdr:row>
                    <xdr:rowOff>655320</xdr:rowOff>
                  </from>
                  <to>
                    <xdr:col>5</xdr:col>
                    <xdr:colOff>68580</xdr:colOff>
                    <xdr:row>20</xdr:row>
                    <xdr:rowOff>220980</xdr:rowOff>
                  </to>
                </anchor>
              </controlPr>
            </control>
          </mc:Choice>
        </mc:AlternateContent>
        <mc:AlternateContent xmlns:mc="http://schemas.openxmlformats.org/markup-compatibility/2006">
          <mc:Choice Requires="x14">
            <control shapeId="48137" r:id="rId12" name="Check Box 9">
              <controlPr locked="0" defaultSize="0" autoFill="0" autoLine="0" autoPict="0" altText="">
                <anchor moveWithCells="1">
                  <from>
                    <xdr:col>2</xdr:col>
                    <xdr:colOff>38100</xdr:colOff>
                    <xdr:row>20</xdr:row>
                    <xdr:rowOff>449580</xdr:rowOff>
                  </from>
                  <to>
                    <xdr:col>5</xdr:col>
                    <xdr:colOff>68580</xdr:colOff>
                    <xdr:row>22</xdr:row>
                    <xdr:rowOff>0</xdr:rowOff>
                  </to>
                </anchor>
              </controlPr>
            </control>
          </mc:Choice>
        </mc:AlternateContent>
        <mc:AlternateContent xmlns:mc="http://schemas.openxmlformats.org/markup-compatibility/2006">
          <mc:Choice Requires="x14">
            <control shapeId="48138" r:id="rId13" name="Check Box 10">
              <controlPr locked="0" defaultSize="0" autoFill="0" autoLine="0" autoPict="0" altText="">
                <anchor moveWithCells="1">
                  <from>
                    <xdr:col>2</xdr:col>
                    <xdr:colOff>38100</xdr:colOff>
                    <xdr:row>22</xdr:row>
                    <xdr:rowOff>0</xdr:rowOff>
                  </from>
                  <to>
                    <xdr:col>5</xdr:col>
                    <xdr:colOff>68580</xdr:colOff>
                    <xdr:row>23</xdr:row>
                    <xdr:rowOff>0</xdr:rowOff>
                  </to>
                </anchor>
              </controlPr>
            </control>
          </mc:Choice>
        </mc:AlternateContent>
        <mc:AlternateContent xmlns:mc="http://schemas.openxmlformats.org/markup-compatibility/2006">
          <mc:Choice Requires="x14">
            <control shapeId="48139" r:id="rId14" name="Check Box 11">
              <controlPr locked="0" defaultSize="0" autoFill="0" autoLine="0" autoPict="0" altText="">
                <anchor moveWithCells="1">
                  <from>
                    <xdr:col>2</xdr:col>
                    <xdr:colOff>38100</xdr:colOff>
                    <xdr:row>27</xdr:row>
                    <xdr:rowOff>0</xdr:rowOff>
                  </from>
                  <to>
                    <xdr:col>5</xdr:col>
                    <xdr:colOff>68580</xdr:colOff>
                    <xdr:row>28</xdr:row>
                    <xdr:rowOff>0</xdr:rowOff>
                  </to>
                </anchor>
              </controlPr>
            </control>
          </mc:Choice>
        </mc:AlternateContent>
        <mc:AlternateContent xmlns:mc="http://schemas.openxmlformats.org/markup-compatibility/2006">
          <mc:Choice Requires="x14">
            <control shapeId="48140" r:id="rId15" name="Check Box 12">
              <controlPr locked="0" defaultSize="0" autoFill="0" autoLine="0" autoPict="0" altText="">
                <anchor moveWithCells="1">
                  <from>
                    <xdr:col>2</xdr:col>
                    <xdr:colOff>38100</xdr:colOff>
                    <xdr:row>27</xdr:row>
                    <xdr:rowOff>220980</xdr:rowOff>
                  </from>
                  <to>
                    <xdr:col>5</xdr:col>
                    <xdr:colOff>68580</xdr:colOff>
                    <xdr:row>29</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130" id="{7B6290EC-7C27-4294-8FF8-160C3374D504}">
            <xm:f>Data1!$E$506="Yes"</xm:f>
            <x14:dxf>
              <font>
                <color theme="0"/>
              </font>
              <fill>
                <patternFill>
                  <bgColor theme="0"/>
                </patternFill>
              </fill>
              <border>
                <left/>
                <right/>
                <top/>
                <bottom/>
                <vertical/>
                <horizontal/>
              </border>
            </x14:dxf>
          </x14:cfRule>
          <xm:sqref>K12:M12 K14:M23 K28:M29</xm:sqref>
        </x14:conditionalFormatting>
        <x14:conditionalFormatting xmlns:xm="http://schemas.microsoft.com/office/excel/2006/main">
          <x14:cfRule type="expression" priority="1258" id="{00000000-000E-0000-0E00-000008000000}">
            <xm:f>Data1!$B439=TRUE</xm:f>
            <x14:dxf>
              <fill>
                <patternFill>
                  <bgColor theme="9" tint="0.79998168889431442"/>
                </patternFill>
              </fill>
            </x14:dxf>
          </x14:cfRule>
          <xm:sqref>C28:H29 C14:H22</xm:sqref>
        </x14:conditionalFormatting>
        <x14:conditionalFormatting xmlns:xm="http://schemas.microsoft.com/office/excel/2006/main">
          <x14:cfRule type="expression" priority="1260" id="{00000000-000E-0000-0E00-00000A000000}">
            <xm:f>Data1!$B$448=TRUE</xm:f>
            <x14:dxf>
              <fill>
                <patternFill>
                  <bgColor theme="9" tint="0.79998168889431442"/>
                </patternFill>
              </fill>
            </x14:dxf>
          </x14:cfRule>
          <xm:sqref>C23:H27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5C5E6-C189-479B-B787-B1B2A373D51F}">
  <sheetPr codeName="Sheet20"/>
  <dimension ref="A1:Z43"/>
  <sheetViews>
    <sheetView showGridLines="0" zoomScaleNormal="100" zoomScaleSheetLayoutView="100" workbookViewId="0">
      <pane ySplit="2" topLeftCell="A3" activePane="bottomLeft" state="frozen"/>
      <selection pane="bottomLeft" activeCell="E15" sqref="E15:H15"/>
    </sheetView>
  </sheetViews>
  <sheetFormatPr defaultColWidth="8.5546875" defaultRowHeight="14.4"/>
  <cols>
    <col min="1" max="1" width="3" style="42" customWidth="1"/>
    <col min="2" max="2" width="3.5546875" style="45" customWidth="1"/>
    <col min="3" max="3" width="3.5546875" style="42" customWidth="1"/>
    <col min="4" max="4" width="18.44140625" style="42" customWidth="1"/>
    <col min="5" max="5" width="35.5546875" style="42" customWidth="1"/>
    <col min="6" max="6" width="24.5546875" style="42" customWidth="1"/>
    <col min="7" max="7" width="14.33203125" style="42" customWidth="1"/>
    <col min="8" max="8" width="8.5546875" style="42"/>
    <col min="9" max="10" width="4.6640625" style="45" customWidth="1"/>
    <col min="11" max="12" width="3.5546875" style="42" customWidth="1"/>
    <col min="13" max="13" width="31.5546875" style="42" customWidth="1"/>
    <col min="14" max="16384" width="8.5546875" style="42"/>
  </cols>
  <sheetData>
    <row r="1" spans="1:26" ht="35.85" customHeight="1" thickBot="1">
      <c r="A1" s="1714" t="s">
        <v>2000</v>
      </c>
      <c r="B1" s="1715"/>
      <c r="C1" s="1715"/>
      <c r="D1" s="1715"/>
      <c r="E1" s="1715"/>
      <c r="F1" s="1715"/>
      <c r="G1" s="1715"/>
      <c r="H1" s="1716"/>
      <c r="I1" s="64"/>
      <c r="J1" s="64"/>
      <c r="K1" s="1829" t="str">
        <f>"There are "&amp;TEXT(COUNTIF($K$7:$K$39,"=1"),"0")&amp;" required input fields and "&amp;TEXT(COUNTIF($K$7:$K$39,"=2"),"0")&amp;" optional input fields on this tab."&amp;CHAR(10)&amp;"There "&amp;IF(COUNTIFS($K$7:$K$39,"=1",$L$7:$L$39,"=1")=1,"is 1 required input field with an entry","are "&amp;TEXT(COUNTIFS($K$7:$K$39,"=1",$L$7:$L$39,"=1"),"0")&amp;" required input fields")&amp;" and "&amp;TEXT(COUNTIFS($K$7:$K$39,"=2",$L$7:$L$39,"=2"),"0")&amp;" optional input field"&amp;IF(COUNTIFS($K$7:$K$39,"=2",$L$7:$L$39,"=2")=1," with an entry","s with entries")&amp;" on this tab."&amp;CHAR(10)&amp;"There "&amp;IF(Data1!G507=1,"is ","are ")&amp;TEXT(Data1!G507,"0")&amp;" required input field"&amp;IF(Data1!G507=1," that need an entry","s that need entries")&amp;" and "&amp;TEXT(Data1!H507,"0")&amp;" optional input field"&amp;IF(Data1!H507=1," that may or may not need an entry","s that may or may not need entries")&amp;" on this tab."</f>
        <v>There are 13 required input fields and 1 optional input fields on this tab.
There are 0 required input fields and 0 optional input fields with entries on this tab.
There are 13 required input fields that need entries and 1 optional input field that may or may not need an entry on this tab.</v>
      </c>
      <c r="L1" s="1829"/>
      <c r="M1" s="1829"/>
      <c r="N1" s="1829"/>
      <c r="O1" s="1829"/>
      <c r="P1" s="1829"/>
      <c r="Q1" s="1829"/>
      <c r="R1" s="1829"/>
      <c r="S1" s="1829"/>
      <c r="T1" s="1829"/>
      <c r="U1" s="1829"/>
      <c r="V1" s="1416"/>
      <c r="W1" s="1416"/>
      <c r="X1" s="1416"/>
      <c r="Y1" s="1416"/>
      <c r="Z1" s="1416"/>
    </row>
    <row r="2" spans="1:26" ht="14.4" customHeight="1">
      <c r="A2" s="1459"/>
      <c r="B2" s="1460"/>
      <c r="C2" s="1460"/>
      <c r="D2" s="1460"/>
      <c r="E2" s="1460"/>
      <c r="F2" s="1460"/>
      <c r="G2" s="1461"/>
      <c r="H2" s="1460"/>
      <c r="I2" s="1460"/>
      <c r="J2" s="3"/>
      <c r="K2" s="1829"/>
      <c r="L2" s="1829"/>
      <c r="M2" s="1829"/>
      <c r="N2" s="1829"/>
      <c r="O2" s="1829"/>
      <c r="P2" s="1829"/>
      <c r="Q2" s="1829"/>
      <c r="R2" s="1829"/>
      <c r="S2" s="1829"/>
      <c r="T2" s="1829"/>
      <c r="U2" s="1829"/>
      <c r="V2" s="1416"/>
      <c r="W2" s="1416"/>
      <c r="X2" s="1416"/>
      <c r="Y2" s="1416"/>
      <c r="Z2" s="1416"/>
    </row>
    <row r="3" spans="1:26" ht="17.399999999999999" customHeight="1">
      <c r="A3" s="1712" t="s">
        <v>2001</v>
      </c>
      <c r="B3" s="1712"/>
      <c r="C3" s="1712"/>
      <c r="D3" s="1712"/>
      <c r="E3" s="1712"/>
      <c r="F3" s="1712"/>
      <c r="G3" s="1712"/>
      <c r="H3" s="1712"/>
      <c r="I3" s="3"/>
      <c r="J3" s="3"/>
      <c r="K3" s="1631"/>
      <c r="L3" s="1631"/>
      <c r="M3" s="1631"/>
      <c r="N3" s="1631"/>
      <c r="O3" s="1631"/>
      <c r="P3" s="1631"/>
      <c r="Q3" s="1631"/>
      <c r="R3" s="1631"/>
      <c r="S3" s="1631"/>
      <c r="T3" s="1631"/>
      <c r="U3" s="1631"/>
      <c r="V3" s="1416"/>
      <c r="W3" s="1416"/>
      <c r="X3" s="1416"/>
      <c r="Y3" s="1416"/>
      <c r="Z3" s="1416"/>
    </row>
    <row r="4" spans="1:26" ht="17.399999999999999" customHeight="1">
      <c r="A4" s="1712"/>
      <c r="B4" s="1712"/>
      <c r="C4" s="1712"/>
      <c r="D4" s="1712"/>
      <c r="E4" s="1712"/>
      <c r="F4" s="1712"/>
      <c r="G4" s="1712"/>
      <c r="H4" s="1712"/>
      <c r="I4" s="1451"/>
      <c r="J4" s="1451"/>
      <c r="K4" s="1631"/>
      <c r="L4" s="1631"/>
      <c r="M4" s="1631"/>
      <c r="N4" s="1631"/>
      <c r="O4" s="1631"/>
      <c r="P4" s="1631"/>
      <c r="Q4" s="1631"/>
      <c r="R4" s="1631"/>
      <c r="S4" s="1631"/>
      <c r="T4" s="1631"/>
      <c r="U4" s="1631"/>
      <c r="V4" s="1416"/>
      <c r="W4" s="1416"/>
      <c r="X4" s="1416"/>
      <c r="Y4" s="1416"/>
      <c r="Z4" s="1416"/>
    </row>
    <row r="5" spans="1:26" ht="17.399999999999999" customHeight="1">
      <c r="A5" s="1712"/>
      <c r="B5" s="1712"/>
      <c r="C5" s="1712"/>
      <c r="D5" s="1712"/>
      <c r="E5" s="1712"/>
      <c r="F5" s="1712"/>
      <c r="G5" s="1712"/>
      <c r="H5" s="1712"/>
      <c r="I5" s="1464"/>
      <c r="J5" s="1464"/>
      <c r="K5" s="1465"/>
      <c r="L5" s="1465"/>
      <c r="M5" s="1465"/>
      <c r="N5" s="1411"/>
      <c r="O5" s="1411"/>
      <c r="P5" s="1411"/>
      <c r="Q5" s="1411"/>
      <c r="R5" s="1411"/>
      <c r="S5" s="1411"/>
      <c r="T5" s="1416"/>
      <c r="U5" s="1416"/>
      <c r="V5" s="1416"/>
      <c r="W5" s="1416"/>
      <c r="X5" s="1416"/>
      <c r="Y5" s="1416"/>
      <c r="Z5" s="1416"/>
    </row>
    <row r="6" spans="1:26" s="14" customFormat="1" ht="10.35" customHeight="1">
      <c r="A6" s="1459"/>
      <c r="B6" s="1460"/>
      <c r="C6" s="1460"/>
      <c r="D6" s="1460"/>
      <c r="E6" s="1460"/>
      <c r="F6" s="1460"/>
      <c r="G6" s="1461"/>
      <c r="H6" s="1460"/>
      <c r="I6" s="1460"/>
      <c r="J6" s="19"/>
      <c r="L6" s="1414"/>
    </row>
    <row r="7" spans="1:26" ht="85.2" customHeight="1">
      <c r="A7" s="4"/>
      <c r="B7" s="189"/>
      <c r="C7" s="1826" t="s">
        <v>2002</v>
      </c>
      <c r="D7" s="1826"/>
      <c r="E7" s="1826"/>
      <c r="F7" s="1826"/>
      <c r="G7" s="1826"/>
      <c r="H7" s="1826"/>
      <c r="J7" s="3"/>
      <c r="K7" s="588">
        <f>IF(AND(ExcelCheckbox_Coordination_Exp_3rd_party=FALSE,ExcelCheckbox_ExpApplicant=FALSE),1,2)</f>
        <v>1</v>
      </c>
      <c r="L7" s="390">
        <f>IF(Data1!B457=TRUE,K7,0)</f>
        <v>0</v>
      </c>
      <c r="M7" s="1410" t="str">
        <f t="shared" ref="M7:M8" si="0">CHOOSE(K7+1,"Not to be included in this RFA","A REQUIRED input field for this RFA","An OPTIONAL input field for this RFA")</f>
        <v>A REQUIRED input field for this RFA</v>
      </c>
    </row>
    <row r="8" spans="1:26" ht="34.950000000000003" customHeight="1">
      <c r="A8" s="4"/>
      <c r="B8" s="189"/>
      <c r="C8" s="1826" t="s">
        <v>2003</v>
      </c>
      <c r="D8" s="1826"/>
      <c r="E8" s="1826"/>
      <c r="F8" s="1826"/>
      <c r="G8" s="1826"/>
      <c r="H8" s="1826"/>
      <c r="J8" s="3"/>
      <c r="K8" s="588">
        <f>IF(K7=1,2,IF(K7=2,1,2))</f>
        <v>2</v>
      </c>
      <c r="L8" s="390">
        <f>IF(Data1!B458=TRUE,K8,0)</f>
        <v>0</v>
      </c>
      <c r="M8" s="1410" t="str">
        <f t="shared" si="0"/>
        <v>An OPTIONAL input field for this RFA</v>
      </c>
    </row>
    <row r="9" spans="1:26" ht="10.35" customHeight="1">
      <c r="A9" s="4"/>
      <c r="B9" s="56"/>
      <c r="C9" s="1740"/>
      <c r="D9" s="1740"/>
      <c r="E9" s="1740"/>
      <c r="F9" s="1740"/>
      <c r="H9" s="4"/>
      <c r="I9" s="192"/>
      <c r="J9" s="192"/>
      <c r="K9" s="4"/>
      <c r="L9" s="4"/>
    </row>
    <row r="10" spans="1:26" ht="19.95" customHeight="1">
      <c r="B10" s="1712" t="s">
        <v>2004</v>
      </c>
      <c r="C10" s="1712"/>
      <c r="D10" s="1712"/>
      <c r="E10" s="1712"/>
      <c r="F10" s="1712"/>
      <c r="G10" s="1712"/>
      <c r="H10" s="1712"/>
    </row>
    <row r="11" spans="1:26" ht="19.95" customHeight="1">
      <c r="B11" s="1712"/>
      <c r="C11" s="1712"/>
      <c r="D11" s="1712"/>
      <c r="E11" s="1712"/>
      <c r="F11" s="1712"/>
      <c r="G11" s="1712"/>
      <c r="H11" s="1712"/>
    </row>
    <row r="12" spans="1:26" ht="19.95" customHeight="1">
      <c r="B12" s="1712"/>
      <c r="C12" s="1712"/>
      <c r="D12" s="1712"/>
      <c r="E12" s="1712"/>
      <c r="F12" s="1712"/>
      <c r="G12" s="1712"/>
      <c r="H12" s="1712"/>
    </row>
    <row r="13" spans="1:26" ht="19.95" customHeight="1">
      <c r="B13" s="2018" t="s">
        <v>2005</v>
      </c>
      <c r="C13" s="2018"/>
      <c r="D13" s="2018"/>
      <c r="E13" s="2018"/>
      <c r="F13" s="2018"/>
      <c r="G13" s="2018"/>
      <c r="H13" s="2018"/>
      <c r="M13" s="1223">
        <v>1</v>
      </c>
    </row>
    <row r="14" spans="1:26" ht="19.95" customHeight="1">
      <c r="B14" s="2015"/>
      <c r="C14" s="2015"/>
      <c r="D14" s="2015"/>
      <c r="E14" s="2015"/>
      <c r="F14" s="2015"/>
      <c r="G14" s="2015"/>
      <c r="H14" s="2015"/>
    </row>
    <row r="15" spans="1:26" ht="17.399999999999999" customHeight="1">
      <c r="B15" s="1449"/>
      <c r="C15" s="1449"/>
      <c r="D15" s="1452" t="s">
        <v>227</v>
      </c>
      <c r="E15" s="1832"/>
      <c r="F15" s="1832"/>
      <c r="G15" s="1832"/>
      <c r="H15" s="1832"/>
      <c r="K15" s="588">
        <v>1</v>
      </c>
      <c r="L15" s="390">
        <f>IF(E15&lt;&gt;"",K15,0)</f>
        <v>0</v>
      </c>
      <c r="M15" s="1579" t="str">
        <f t="shared" ref="M15" si="1">CHOOSE(K15+1,"Not to be included in this RFA","A REQUIRED input field for this RFA","An OPTIONAL input field for this RFA")</f>
        <v>A REQUIRED input field for this RFA</v>
      </c>
    </row>
    <row r="16" spans="1:26" ht="45" customHeight="1">
      <c r="D16" s="1452" t="s">
        <v>228</v>
      </c>
      <c r="E16" s="1832"/>
      <c r="F16" s="1832"/>
      <c r="G16" s="1832"/>
      <c r="H16" s="1832"/>
      <c r="K16" s="588">
        <v>1</v>
      </c>
      <c r="L16" s="390">
        <f>IF(E16&lt;&gt;"",K16,0)</f>
        <v>0</v>
      </c>
      <c r="M16" s="1410" t="str">
        <f t="shared" ref="M16" si="2">CHOOSE(K16+1,"Not to be included in this RFA","A REQUIRED input field for this RFA","An OPTIONAL input field for this RFA")</f>
        <v>A REQUIRED input field for this RFA</v>
      </c>
    </row>
    <row r="17" spans="2:13" ht="17.399999999999999" customHeight="1">
      <c r="B17" s="1449"/>
      <c r="C17"/>
      <c r="D17" s="1450" t="s">
        <v>229</v>
      </c>
      <c r="E17" s="1453"/>
      <c r="K17" s="588">
        <v>1</v>
      </c>
      <c r="L17" s="390">
        <f>IF(N(E17)&gt;0,K17,0)</f>
        <v>0</v>
      </c>
      <c r="M17" s="1579" t="str">
        <f t="shared" ref="M17" si="3">CHOOSE(K17+1,"Not to be included in this RFA","A REQUIRED input field for this RFA","An OPTIONAL input field for this RFA")</f>
        <v>A REQUIRED input field for this RFA</v>
      </c>
    </row>
    <row r="18" spans="2:13" ht="10.35" customHeight="1"/>
    <row r="19" spans="2:13" ht="19.95" customHeight="1">
      <c r="B19" s="2018" t="s">
        <v>2006</v>
      </c>
      <c r="C19" s="2018"/>
      <c r="D19" s="2018"/>
      <c r="E19" s="2018"/>
      <c r="F19" s="2018"/>
      <c r="G19" s="2018"/>
      <c r="H19" s="2018"/>
      <c r="M19" s="1223">
        <v>1</v>
      </c>
    </row>
    <row r="20" spans="2:13" ht="19.95" customHeight="1">
      <c r="B20" s="2015"/>
      <c r="C20" s="2015"/>
      <c r="D20" s="2015"/>
      <c r="E20" s="2015"/>
      <c r="F20" s="2015"/>
      <c r="G20" s="2015"/>
      <c r="H20" s="2015"/>
    </row>
    <row r="21" spans="2:13" ht="17.399999999999999" customHeight="1">
      <c r="B21" s="1449"/>
      <c r="C21" s="1449"/>
      <c r="D21" s="1452" t="s">
        <v>227</v>
      </c>
      <c r="E21" s="1832"/>
      <c r="F21" s="1832"/>
      <c r="G21" s="1832"/>
      <c r="H21" s="1832"/>
      <c r="K21" s="588">
        <v>1</v>
      </c>
      <c r="L21" s="390">
        <f>IF(E21&lt;&gt;"",K21,0)</f>
        <v>0</v>
      </c>
      <c r="M21" s="1579" t="str">
        <f t="shared" ref="M21:M23" si="4">CHOOSE(K21+1,"Not to be included in this RFA","A REQUIRED input field for this RFA","An OPTIONAL input field for this RFA")</f>
        <v>A REQUIRED input field for this RFA</v>
      </c>
    </row>
    <row r="22" spans="2:13" ht="45" customHeight="1">
      <c r="D22" s="1452" t="s">
        <v>228</v>
      </c>
      <c r="E22" s="1832"/>
      <c r="F22" s="1832"/>
      <c r="G22" s="1832"/>
      <c r="H22" s="1832"/>
      <c r="K22" s="588">
        <v>1</v>
      </c>
      <c r="L22" s="390">
        <f>IF(E22&lt;&gt;"",K22,0)</f>
        <v>0</v>
      </c>
      <c r="M22" s="1579" t="str">
        <f t="shared" si="4"/>
        <v>A REQUIRED input field for this RFA</v>
      </c>
    </row>
    <row r="23" spans="2:13" ht="17.399999999999999" customHeight="1">
      <c r="B23" s="1449"/>
      <c r="C23"/>
      <c r="D23" s="1450" t="s">
        <v>229</v>
      </c>
      <c r="E23" s="1453"/>
      <c r="K23" s="588">
        <v>1</v>
      </c>
      <c r="L23" s="390">
        <f>IF(N(E23)&gt;0,K23,0)</f>
        <v>0</v>
      </c>
      <c r="M23" s="1579" t="str">
        <f t="shared" si="4"/>
        <v>A REQUIRED input field for this RFA</v>
      </c>
    </row>
    <row r="24" spans="2:13" ht="10.35" customHeight="1"/>
    <row r="25" spans="2:13" ht="19.95" customHeight="1">
      <c r="B25" s="2018" t="s">
        <v>2007</v>
      </c>
      <c r="C25" s="2018"/>
      <c r="D25" s="2018"/>
      <c r="E25" s="2018"/>
      <c r="F25" s="2018"/>
      <c r="G25" s="2018"/>
      <c r="H25" s="2018"/>
      <c r="M25" s="1223">
        <v>1</v>
      </c>
    </row>
    <row r="26" spans="2:13" ht="19.95" customHeight="1">
      <c r="B26" s="2015"/>
      <c r="C26" s="2015"/>
      <c r="D26" s="2015"/>
      <c r="E26" s="2015"/>
      <c r="F26" s="2015"/>
      <c r="G26" s="2015"/>
      <c r="H26" s="2015"/>
    </row>
    <row r="27" spans="2:13" ht="17.399999999999999" customHeight="1">
      <c r="B27" s="1449"/>
      <c r="C27" s="1449"/>
      <c r="D27" s="1452" t="s">
        <v>227</v>
      </c>
      <c r="E27" s="1832"/>
      <c r="F27" s="1832"/>
      <c r="G27" s="1832"/>
      <c r="H27" s="1832"/>
      <c r="K27" s="588">
        <v>1</v>
      </c>
      <c r="L27" s="390">
        <f>IF(E27&lt;&gt;"",K27,0)</f>
        <v>0</v>
      </c>
      <c r="M27" s="1579" t="str">
        <f t="shared" ref="M27:M29" si="5">CHOOSE(K27+1,"Not to be included in this RFA","A REQUIRED input field for this RFA","An OPTIONAL input field for this RFA")</f>
        <v>A REQUIRED input field for this RFA</v>
      </c>
    </row>
    <row r="28" spans="2:13" ht="45" customHeight="1">
      <c r="D28" s="1452" t="s">
        <v>228</v>
      </c>
      <c r="E28" s="1832"/>
      <c r="F28" s="1832"/>
      <c r="G28" s="1832"/>
      <c r="H28" s="1832"/>
      <c r="K28" s="588">
        <v>1</v>
      </c>
      <c r="L28" s="390">
        <f>IF(E28&lt;&gt;"",K28,0)</f>
        <v>0</v>
      </c>
      <c r="M28" s="1579" t="str">
        <f t="shared" si="5"/>
        <v>A REQUIRED input field for this RFA</v>
      </c>
    </row>
    <row r="29" spans="2:13" ht="17.399999999999999" customHeight="1">
      <c r="B29" s="1449"/>
      <c r="C29"/>
      <c r="D29" s="1450" t="s">
        <v>229</v>
      </c>
      <c r="E29" s="1453"/>
      <c r="K29" s="588">
        <v>1</v>
      </c>
      <c r="L29" s="390">
        <f>IF(N(E29)&gt;0,K29,0)</f>
        <v>0</v>
      </c>
      <c r="M29" s="1579" t="str">
        <f t="shared" si="5"/>
        <v>A REQUIRED input field for this RFA</v>
      </c>
    </row>
    <row r="30" spans="2:13" ht="10.35" customHeight="1"/>
    <row r="31" spans="2:13" ht="19.95" customHeight="1">
      <c r="B31" s="2018" t="s">
        <v>2008</v>
      </c>
      <c r="C31" s="2018"/>
      <c r="D31" s="2018"/>
      <c r="E31" s="2018"/>
      <c r="F31" s="2018"/>
      <c r="G31" s="2018"/>
      <c r="H31" s="2018"/>
      <c r="M31" s="1223">
        <v>1</v>
      </c>
    </row>
    <row r="32" spans="2:13" ht="19.95" customHeight="1">
      <c r="B32" s="2015"/>
      <c r="C32" s="2015"/>
      <c r="D32" s="2015"/>
      <c r="E32" s="2015"/>
      <c r="F32" s="2015"/>
      <c r="G32" s="2015"/>
      <c r="H32" s="2015"/>
    </row>
    <row r="33" spans="2:13" ht="17.399999999999999" customHeight="1">
      <c r="B33" s="1449"/>
      <c r="C33" s="1449"/>
      <c r="D33" s="1452" t="s">
        <v>227</v>
      </c>
      <c r="E33" s="1832"/>
      <c r="F33" s="1832"/>
      <c r="G33" s="1832"/>
      <c r="H33" s="1832"/>
      <c r="K33" s="588">
        <v>1</v>
      </c>
      <c r="L33" s="390">
        <f>IF(E33&lt;&gt;"",K33,0)</f>
        <v>0</v>
      </c>
      <c r="M33" s="1579" t="str">
        <f t="shared" ref="M33:M35" si="6">CHOOSE(K33+1,"Not to be included in this RFA","A REQUIRED input field for this RFA","An OPTIONAL input field for this RFA")</f>
        <v>A REQUIRED input field for this RFA</v>
      </c>
    </row>
    <row r="34" spans="2:13" ht="45" customHeight="1">
      <c r="D34" s="1452" t="s">
        <v>228</v>
      </c>
      <c r="E34" s="1832"/>
      <c r="F34" s="1832"/>
      <c r="G34" s="1832"/>
      <c r="H34" s="1832"/>
      <c r="K34" s="588">
        <v>1</v>
      </c>
      <c r="L34" s="390">
        <f>IF(E34&lt;&gt;"",K34,0)</f>
        <v>0</v>
      </c>
      <c r="M34" s="1579" t="str">
        <f t="shared" si="6"/>
        <v>A REQUIRED input field for this RFA</v>
      </c>
    </row>
    <row r="35" spans="2:13" ht="17.399999999999999" customHeight="1">
      <c r="B35" s="1449"/>
      <c r="C35"/>
      <c r="D35" s="1450" t="s">
        <v>229</v>
      </c>
      <c r="E35" s="1453"/>
      <c r="K35" s="588">
        <v>1</v>
      </c>
      <c r="L35" s="390">
        <f>IF(N(E35)&gt;0,K35,0)</f>
        <v>0</v>
      </c>
      <c r="M35" s="1579" t="str">
        <f t="shared" si="6"/>
        <v>A REQUIRED input field for this RFA</v>
      </c>
    </row>
    <row r="36" spans="2:13" ht="10.35" customHeight="1"/>
    <row r="37" spans="2:13" ht="19.95" customHeight="1">
      <c r="B37" s="2014" t="s">
        <v>2009</v>
      </c>
      <c r="C37" s="2014"/>
      <c r="D37" s="2014"/>
      <c r="E37" s="2014"/>
      <c r="F37" s="2014"/>
      <c r="G37" s="2014"/>
      <c r="H37" s="2014"/>
    </row>
    <row r="38" spans="2:13" ht="19.95" customHeight="1">
      <c r="B38" s="2015"/>
      <c r="C38" s="2015"/>
      <c r="D38" s="2015"/>
      <c r="E38" s="2015"/>
      <c r="F38" s="2015"/>
      <c r="G38" s="2015"/>
      <c r="H38" s="2015"/>
    </row>
    <row r="39" spans="2:13" ht="17.399999999999999" customHeight="1">
      <c r="B39" s="2017" t="s">
        <v>2010</v>
      </c>
      <c r="C39" s="2017"/>
      <c r="D39" s="2017"/>
      <c r="E39" s="2017"/>
      <c r="F39" s="1462">
        <f>N(E17)+N(E23)+N(E29)+N(E35)</f>
        <v>0</v>
      </c>
      <c r="G39" s="1463"/>
      <c r="H39" s="1463"/>
    </row>
    <row r="40" spans="2:13" ht="10.35" customHeight="1">
      <c r="G40" s="4"/>
      <c r="H40" s="4"/>
    </row>
    <row r="41" spans="2:13" ht="17.399999999999999" customHeight="1">
      <c r="B41" s="2016" t="str">
        <f>IF(AND(N(Total_Units)&gt;0,N(Owner_operator_Exp_total_Dev_units)&gt;0),IF(N(Owner_operator_Exp_total_Dev_units)&gt;=50%*N(Total_Units),"","The combined Total Number of Units above is not at least 50% of Total Units of the Proposed Development."),"")</f>
        <v/>
      </c>
      <c r="C41" s="2016"/>
      <c r="D41" s="2016"/>
      <c r="E41" s="2016"/>
      <c r="F41" s="2016"/>
      <c r="G41" s="2016"/>
      <c r="H41" s="2016"/>
    </row>
    <row r="42" spans="2:13" ht="17.399999999999999" customHeight="1"/>
    <row r="43" spans="2:13" ht="17.399999999999999" customHeight="1"/>
  </sheetData>
  <sheetProtection algorithmName="SHA-512" hashValue="6uNWExhcYbBlUHrfIh3sOBOVo2V1lhgPqXWdLcWnMQ61O+UdeNPRuwAsvdcvcslblf75Wz5MZrjo9nFTphlTYQ==" saltValue="ChUov0TzJaqezZ+WUSIraA==" spinCount="100000" sheet="1" formatRows="0" selectLockedCells="1"/>
  <mergeCells count="22">
    <mergeCell ref="K1:U2"/>
    <mergeCell ref="B19:H20"/>
    <mergeCell ref="E21:H21"/>
    <mergeCell ref="E22:H22"/>
    <mergeCell ref="E27:H27"/>
    <mergeCell ref="C9:F9"/>
    <mergeCell ref="A1:H1"/>
    <mergeCell ref="E15:H15"/>
    <mergeCell ref="E16:H16"/>
    <mergeCell ref="A3:H5"/>
    <mergeCell ref="C7:H7"/>
    <mergeCell ref="C8:H8"/>
    <mergeCell ref="B13:H14"/>
    <mergeCell ref="B10:H12"/>
    <mergeCell ref="B37:H38"/>
    <mergeCell ref="B41:H41"/>
    <mergeCell ref="B39:E39"/>
    <mergeCell ref="B25:H26"/>
    <mergeCell ref="B31:H32"/>
    <mergeCell ref="E28:H28"/>
    <mergeCell ref="E33:H33"/>
    <mergeCell ref="E34:H34"/>
  </mergeCells>
  <conditionalFormatting sqref="B7:C7">
    <cfRule type="expression" dxfId="313" priority="4">
      <formula>$K7=0</formula>
    </cfRule>
  </conditionalFormatting>
  <conditionalFormatting sqref="B8:C8">
    <cfRule type="expression" dxfId="312" priority="5">
      <formula>$K8=0</formula>
    </cfRule>
  </conditionalFormatting>
  <conditionalFormatting sqref="F39">
    <cfRule type="cellIs" dxfId="311" priority="58" operator="equal">
      <formula>0</formula>
    </cfRule>
  </conditionalFormatting>
  <conditionalFormatting sqref="B41">
    <cfRule type="cellIs" dxfId="310" priority="1337" operator="notEqual">
      <formula>""</formula>
    </cfRule>
  </conditionalFormatting>
  <conditionalFormatting sqref="E15:H16 E17 E21:H22 E23 E27:H28 E29 E33:H34 E35">
    <cfRule type="cellIs" dxfId="309" priority="30" operator="notEqual">
      <formula>""</formula>
    </cfRule>
  </conditionalFormatting>
  <conditionalFormatting sqref="B15:H17 B21:H23 B27:H29 B33:H35">
    <cfRule type="expression" dxfId="308" priority="27">
      <formula>$K15=0</formula>
    </cfRule>
  </conditionalFormatting>
  <conditionalFormatting sqref="B31:H36">
    <cfRule type="expression" dxfId="307" priority="51">
      <formula>$M$31=0</formula>
    </cfRule>
  </conditionalFormatting>
  <conditionalFormatting sqref="B25:H30">
    <cfRule type="expression" dxfId="306" priority="50">
      <formula>$M$25=0</formula>
    </cfRule>
  </conditionalFormatting>
  <conditionalFormatting sqref="B19:H24">
    <cfRule type="expression" dxfId="305" priority="43">
      <formula>$M$19=0</formula>
    </cfRule>
  </conditionalFormatting>
  <conditionalFormatting sqref="B13:H18">
    <cfRule type="expression" dxfId="304" priority="26">
      <formula>$M$13=0</formula>
    </cfRule>
  </conditionalFormatting>
  <dataValidations disablePrompts="1" count="3">
    <dataValidation type="custom" allowBlank="1" showInputMessage="1" showErrorMessage="1" sqref="K7:K8 K15:K17 K27:K29 K21:K23 K33:K35" xr:uid="{86719DE0-3C0B-450B-8017-8E916C303BF6}">
      <formula1>AND(K7&gt;=0,K7&lt;3,K7=ROUND(K7,0))</formula1>
    </dataValidation>
    <dataValidation type="list" allowBlank="1" showDropDown="1" showErrorMessage="1" error="To select this Resident Program, type in &quot;x&quot;." sqref="B7:B8" xr:uid="{0DD957BB-9474-4EAA-A0F2-D9BE2AA27541}">
      <formula1>"x,X"</formula1>
    </dataValidation>
    <dataValidation type="whole" allowBlank="1" showErrorMessage="1" error="Please enter a whole number." sqref="E17 E23 E29 E35" xr:uid="{1EF114FE-65E5-4F71-9718-052837D46E8D}">
      <formula1>0</formula1>
      <formula2>4000</formula2>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rowBreaks count="1" manualBreakCount="1">
    <brk id="30"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6737" r:id="rId4" name="Check Box 1">
              <controlPr locked="0" defaultSize="0" autoFill="0" autoLine="0" autoPict="0">
                <anchor moveWithCells="1">
                  <from>
                    <xdr:col>1</xdr:col>
                    <xdr:colOff>45720</xdr:colOff>
                    <xdr:row>6</xdr:row>
                    <xdr:rowOff>0</xdr:rowOff>
                  </from>
                  <to>
                    <xdr:col>3</xdr:col>
                    <xdr:colOff>480060</xdr:colOff>
                    <xdr:row>6</xdr:row>
                    <xdr:rowOff>228600</xdr:rowOff>
                  </to>
                </anchor>
              </controlPr>
            </control>
          </mc:Choice>
        </mc:AlternateContent>
        <mc:AlternateContent xmlns:mc="http://schemas.openxmlformats.org/markup-compatibility/2006">
          <mc:Choice Requires="x14">
            <control shapeId="116738" r:id="rId5" name="Check Box 2">
              <controlPr locked="0" defaultSize="0" autoFill="0" autoLine="0" autoPict="0">
                <anchor moveWithCells="1">
                  <from>
                    <xdr:col>1</xdr:col>
                    <xdr:colOff>45720</xdr:colOff>
                    <xdr:row>7</xdr:row>
                    <xdr:rowOff>0</xdr:rowOff>
                  </from>
                  <to>
                    <xdr:col>3</xdr:col>
                    <xdr:colOff>480060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ABDB45C-EE11-491C-B865-833112D12753}">
            <xm:f>Data1!$E$507="Yes"</xm:f>
            <x14:dxf>
              <font>
                <color theme="0"/>
              </font>
              <fill>
                <patternFill>
                  <bgColor theme="0"/>
                </patternFill>
              </fill>
              <border>
                <left/>
                <right/>
                <top/>
                <bottom/>
                <vertical/>
                <horizontal/>
              </border>
            </x14:dxf>
          </x14:cfRule>
          <xm:sqref>K7:M8 M13 K15:M17 M19 K21:M23 M25 K27:M29 M31 K33:M35</xm:sqref>
        </x14:conditionalFormatting>
        <x14:conditionalFormatting xmlns:xm="http://schemas.microsoft.com/office/excel/2006/main">
          <x14:cfRule type="expression" priority="2" id="{00000000-000E-0000-0E00-000001000000}">
            <xm:f>Data1!$B$457=TRUE</xm:f>
            <x14:dxf>
              <fill>
                <patternFill>
                  <bgColor theme="9" tint="0.79998168889431442"/>
                </patternFill>
              </fill>
            </x14:dxf>
          </x14:cfRule>
          <xm:sqref>B7:H7</xm:sqref>
        </x14:conditionalFormatting>
        <x14:conditionalFormatting xmlns:xm="http://schemas.microsoft.com/office/excel/2006/main">
          <x14:cfRule type="expression" priority="3" id="{D9F5F7B0-49B1-4834-A52B-F3BA3A5AE198}">
            <xm:f>Data1!$B$458=TRUE</xm:f>
            <x14:dxf>
              <fill>
                <patternFill>
                  <bgColor theme="9" tint="0.79998168889431442"/>
                </patternFill>
              </fill>
            </x14:dxf>
          </x14:cfRule>
          <xm:sqref>B8:H8</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Z22"/>
  <sheetViews>
    <sheetView showGridLines="0" zoomScaleNormal="100" zoomScaleSheetLayoutView="100" workbookViewId="0">
      <pane ySplit="2" topLeftCell="A3" activePane="bottomLeft" state="frozen"/>
      <selection pane="bottomLeft" activeCell="A3" sqref="A3"/>
    </sheetView>
  </sheetViews>
  <sheetFormatPr defaultColWidth="8.5546875" defaultRowHeight="14.4"/>
  <cols>
    <col min="1" max="1" width="3" style="42" customWidth="1"/>
    <col min="2" max="2" width="3.5546875" style="45" customWidth="1"/>
    <col min="3" max="3" width="3.5546875" style="42" customWidth="1"/>
    <col min="4" max="4" width="4.44140625" style="42" customWidth="1"/>
    <col min="5" max="5" width="49.5546875" style="42" customWidth="1"/>
    <col min="6" max="6" width="24.5546875" style="42" customWidth="1"/>
    <col min="7" max="7" width="14.33203125" style="42" customWidth="1"/>
    <col min="8" max="8" width="8.44140625" style="42" customWidth="1"/>
    <col min="9" max="10" width="4.6640625" style="45" customWidth="1"/>
    <col min="11" max="12" width="3.5546875" style="42" customWidth="1"/>
    <col min="13" max="13" width="31.5546875" style="42" customWidth="1"/>
    <col min="14" max="16384" width="8.5546875" style="42"/>
  </cols>
  <sheetData>
    <row r="1" spans="1:26" ht="35.85" customHeight="1" thickBot="1">
      <c r="A1" s="1714" t="s">
        <v>403</v>
      </c>
      <c r="B1" s="1715"/>
      <c r="C1" s="1715"/>
      <c r="D1" s="1715"/>
      <c r="E1" s="1715"/>
      <c r="F1" s="1715"/>
      <c r="G1" s="1715"/>
      <c r="H1" s="1716"/>
      <c r="I1" s="64"/>
      <c r="J1" s="64"/>
      <c r="K1" s="1829" t="str">
        <f>"There are "&amp;TEXT(COUNTIF($K$5:$K$21,"=1"),"0")&amp;" required input fields and "&amp;TEXT(COUNTIF($K$5:$K$21,"=2"),"0")&amp;" optional input fields on this tab."&amp;CHAR(10)&amp;"There "&amp;IF(COUNTIFS($K$5:$K$21,"=1",$L$5:$L$21,"=1")=1,"is 1 required input field","are "&amp;TEXT(COUNTIFS($K$5:$K$21,"=1",$L$5:$L$21,"=1"),"0")&amp;" required input fields")&amp;" and "&amp;TEXT(COUNTIFS($K$5:$K$21,"=2",$L$5:$L$21,"=2"),"0")&amp;" optional input field"&amp;IF(COUNTIFS($K$5:$K$21,"=2",$L$5:$L$21,"=2")=1," with an entry","s with entries")&amp;" on this tab."&amp;CHAR(10)&amp;"There "&amp;IF(Data1!G508=1,"is ","are ")&amp;TEXT(Data1!G508,"0")&amp;" required input field"&amp;IF(Data1!G508=1," that need an entry","s that need entries")&amp;" and "&amp;TEXT(Data1!H508,"0")&amp;" optional input field"&amp;IF(Data1!H508=1," that may or may not need an entry","s that may or may not need entries")&amp;" on this tab."</f>
        <v>There are 0 required input fields and 0 optional input fields on this tab.
There are 0 required input fields and 0 optional input fields with entries on this tab.
There are 0 required input fields that need entries and 0 optional input fields that may or may not need entries on this tab.</v>
      </c>
      <c r="L1" s="1829"/>
      <c r="M1" s="1829"/>
      <c r="N1" s="1829"/>
      <c r="O1" s="1829"/>
      <c r="P1" s="1829"/>
      <c r="Q1" s="1829"/>
      <c r="R1" s="1829"/>
      <c r="S1" s="1829"/>
      <c r="T1" s="1829"/>
      <c r="U1" s="1829"/>
      <c r="V1" s="583"/>
      <c r="W1" s="583"/>
      <c r="X1" s="583"/>
      <c r="Y1" s="583"/>
      <c r="Z1" s="583"/>
    </row>
    <row r="2" spans="1:26" ht="14.4" customHeight="1">
      <c r="A2" s="4"/>
      <c r="B2" s="963"/>
      <c r="C2" s="963"/>
      <c r="D2" s="963"/>
      <c r="E2" s="963"/>
      <c r="F2" s="963"/>
      <c r="G2" s="1364"/>
      <c r="H2" s="963"/>
      <c r="I2" s="3"/>
      <c r="J2" s="3"/>
      <c r="K2" s="1829"/>
      <c r="L2" s="1829"/>
      <c r="M2" s="1829"/>
      <c r="N2" s="1829"/>
      <c r="O2" s="1829"/>
      <c r="P2" s="1829"/>
      <c r="Q2" s="1829"/>
      <c r="R2" s="1829"/>
      <c r="S2" s="1829"/>
      <c r="T2" s="1829"/>
      <c r="U2" s="1829"/>
      <c r="V2" s="583"/>
      <c r="W2" s="583"/>
      <c r="X2" s="583"/>
      <c r="Y2" s="583"/>
      <c r="Z2" s="583"/>
    </row>
    <row r="3" spans="1:26" ht="14.4" customHeight="1">
      <c r="A3" s="17" t="s">
        <v>213</v>
      </c>
      <c r="B3" s="2020" t="s">
        <v>404</v>
      </c>
      <c r="C3" s="2020"/>
      <c r="D3" s="2020"/>
      <c r="E3" s="2020"/>
      <c r="F3" s="188"/>
      <c r="H3" s="16"/>
      <c r="I3" s="11"/>
      <c r="J3" s="11"/>
      <c r="K3" s="16"/>
      <c r="L3" s="4"/>
    </row>
    <row r="4" spans="1:26" s="14" customFormat="1" ht="10.35" customHeight="1">
      <c r="I4" s="19"/>
      <c r="J4" s="19"/>
      <c r="L4" s="16"/>
    </row>
    <row r="5" spans="1:26" ht="17.399999999999999" customHeight="1">
      <c r="A5" s="4"/>
      <c r="B5" s="189"/>
      <c r="C5" s="1861" t="s">
        <v>405</v>
      </c>
      <c r="D5" s="1861"/>
      <c r="E5" s="1861"/>
      <c r="F5" s="184"/>
      <c r="H5" s="1300" t="str">
        <f>IF(AND(Data1!B462=TRUE,Demographic&lt;&gt;"Family",Demographic&lt;&gt;"Workforce"),"Verify Demographic Commitment","")</f>
        <v/>
      </c>
      <c r="J5" s="3"/>
      <c r="K5" s="588">
        <v>0</v>
      </c>
      <c r="L5" s="390">
        <f>IF(Data1!B462=TRUE,K5,0)</f>
        <v>0</v>
      </c>
      <c r="M5" s="570" t="str">
        <f t="shared" ref="M5:M10" si="0">CHOOSE(K5+1,"Not to be included in this RFA","A REQUIRED input field for this RFA","An OPTIONAL input field for this RFA")</f>
        <v>Not to be included in this RFA</v>
      </c>
    </row>
    <row r="6" spans="1:26" ht="17.399999999999999" customHeight="1">
      <c r="A6" s="4"/>
      <c r="B6" s="189"/>
      <c r="C6" s="1861" t="s">
        <v>406</v>
      </c>
      <c r="D6" s="1861"/>
      <c r="E6" s="1861"/>
      <c r="F6" s="184"/>
      <c r="H6" s="1300" t="str">
        <f>IF(AND(Data1!B463=TRUE,Demographic&lt;&gt;"Family",Demographic&lt;&gt;"Workforce"),"Verify Demographic Commitment","")</f>
        <v/>
      </c>
      <c r="J6" s="3"/>
      <c r="K6" s="588">
        <v>0</v>
      </c>
      <c r="L6" s="390">
        <f>IF(Data1!B463=TRUE,K6,0)</f>
        <v>0</v>
      </c>
      <c r="M6" s="570" t="str">
        <f t="shared" si="0"/>
        <v>Not to be included in this RFA</v>
      </c>
    </row>
    <row r="7" spans="1:26" ht="17.399999999999999" customHeight="1">
      <c r="A7" s="4"/>
      <c r="B7" s="189"/>
      <c r="C7" s="1861" t="s">
        <v>407</v>
      </c>
      <c r="D7" s="1861"/>
      <c r="E7" s="1861"/>
      <c r="F7" s="184"/>
      <c r="H7" s="1300" t="str">
        <f>IF(AND(Data1!B464=TRUE,Demographic&lt;&gt;"Family",Demographic&lt;&gt;"Workforce"),"Verify Demographic Commitment","")</f>
        <v/>
      </c>
      <c r="J7" s="3"/>
      <c r="K7" s="588">
        <v>0</v>
      </c>
      <c r="L7" s="390">
        <f>IF(Data1!B464=TRUE,K7,0)</f>
        <v>0</v>
      </c>
      <c r="M7" s="570" t="str">
        <f t="shared" si="0"/>
        <v>Not to be included in this RFA</v>
      </c>
    </row>
    <row r="8" spans="1:26" ht="17.399999999999999" customHeight="1">
      <c r="A8" s="4"/>
      <c r="B8" s="189"/>
      <c r="C8" s="1861" t="s">
        <v>408</v>
      </c>
      <c r="D8" s="1861"/>
      <c r="E8" s="1861"/>
      <c r="F8" s="184"/>
      <c r="H8" s="1300" t="str">
        <f>IF(AND(Data1!B465=TRUE,Demographic&lt;&gt;"Family",Demographic&lt;&gt;"Workforce"),"Verify Demographic Commitment","")</f>
        <v/>
      </c>
      <c r="J8" s="3"/>
      <c r="K8" s="588">
        <v>0</v>
      </c>
      <c r="L8" s="390">
        <f>IF(Data1!B465=TRUE,K8,0)</f>
        <v>0</v>
      </c>
      <c r="M8" s="570" t="str">
        <f t="shared" si="0"/>
        <v>Not to be included in this RFA</v>
      </c>
    </row>
    <row r="9" spans="1:26" ht="17.399999999999999" customHeight="1">
      <c r="A9" s="4"/>
      <c r="B9" s="189"/>
      <c r="C9" s="1861" t="s">
        <v>409</v>
      </c>
      <c r="D9" s="1861"/>
      <c r="E9" s="1861"/>
      <c r="F9" s="184"/>
      <c r="H9" s="1300" t="str">
        <f>IF(AND(Data1!B466=TRUE,Demographic&lt;&gt;"Family",Demographic&lt;&gt;"Workforce"),"Verify Demographic Commitment","")</f>
        <v/>
      </c>
      <c r="J9" s="3"/>
      <c r="K9" s="588">
        <v>0</v>
      </c>
      <c r="L9" s="390">
        <f>IF(Data1!B466=TRUE,K9,0)</f>
        <v>0</v>
      </c>
      <c r="M9" s="570" t="str">
        <f t="shared" si="0"/>
        <v>Not to be included in this RFA</v>
      </c>
    </row>
    <row r="10" spans="1:26" ht="17.399999999999999" customHeight="1">
      <c r="A10" s="4"/>
      <c r="B10" s="189"/>
      <c r="C10" s="1861" t="s">
        <v>410</v>
      </c>
      <c r="D10" s="1861"/>
      <c r="E10" s="1861"/>
      <c r="F10" s="184"/>
      <c r="H10" s="1300" t="str">
        <f>IF(AND(Data1!B467=TRUE,Demographic&lt;&gt;"Family",Demographic&lt;&gt;"Workforce"),"Verify Demographic Commitment","")</f>
        <v/>
      </c>
      <c r="J10" s="3"/>
      <c r="K10" s="588">
        <v>0</v>
      </c>
      <c r="L10" s="390">
        <f>IF(Data1!B467=TRUE,K10,0)</f>
        <v>0</v>
      </c>
      <c r="M10" s="570" t="str">
        <f t="shared" si="0"/>
        <v>Not to be included in this RFA</v>
      </c>
    </row>
    <row r="11" spans="1:26" ht="14.4" customHeight="1">
      <c r="A11" s="4"/>
      <c r="B11" s="56"/>
      <c r="C11" s="1740" t="str">
        <f>IF(AND(I11&lt;3,OR(Demographic="Family",Demographic="Workforce")),"Please select at least three of the above resident programs before proceeding",IF(AND(Demographic&lt;&gt;"Family",Demographic&lt;&gt;"Workforce",Demographic&lt;&gt;"&lt;select one&gt;"),"The above programs are not applicable to the selected Demographic Commitment",""))</f>
        <v>The above programs are not applicable to the selected Demographic Commitment</v>
      </c>
      <c r="D11" s="1740"/>
      <c r="E11" s="1740"/>
      <c r="F11" s="1740"/>
      <c r="H11" s="4"/>
      <c r="I11" s="192">
        <f>COUNTIF(Data1!B462:B467,"TRUE")</f>
        <v>0</v>
      </c>
      <c r="J11" s="192"/>
      <c r="K11" s="4"/>
      <c r="L11" s="4"/>
    </row>
    <row r="12" spans="1:26" ht="14.4" customHeight="1">
      <c r="A12" s="46" t="s">
        <v>222</v>
      </c>
      <c r="B12" s="2019" t="s">
        <v>411</v>
      </c>
      <c r="C12" s="2019"/>
      <c r="D12" s="2019"/>
      <c r="E12" s="2019"/>
      <c r="F12" s="191"/>
      <c r="H12" s="4"/>
      <c r="I12" s="3"/>
      <c r="J12" s="3"/>
      <c r="K12" s="4"/>
      <c r="L12" s="4"/>
    </row>
    <row r="13" spans="1:26" ht="10.35" customHeight="1">
      <c r="A13" s="46"/>
      <c r="B13" s="191"/>
      <c r="C13" s="191"/>
      <c r="D13" s="191"/>
      <c r="E13" s="191"/>
      <c r="F13" s="191"/>
      <c r="H13" s="4"/>
      <c r="I13" s="3"/>
      <c r="J13" s="3"/>
      <c r="K13" s="4"/>
      <c r="L13" s="4"/>
    </row>
    <row r="14" spans="1:26" ht="30" customHeight="1">
      <c r="A14" s="4"/>
      <c r="B14" s="121" t="s">
        <v>215</v>
      </c>
      <c r="C14" s="1829" t="s">
        <v>412</v>
      </c>
      <c r="D14" s="1829"/>
      <c r="E14" s="1829"/>
      <c r="F14" s="1829"/>
      <c r="G14" s="1829"/>
      <c r="H14" s="1829"/>
      <c r="I14" s="3"/>
      <c r="J14" s="3"/>
      <c r="K14" s="4"/>
      <c r="L14" s="4"/>
    </row>
    <row r="15" spans="1:26" ht="30" customHeight="1">
      <c r="A15" s="4"/>
      <c r="B15" s="121" t="s">
        <v>217</v>
      </c>
      <c r="C15" s="1829" t="s">
        <v>413</v>
      </c>
      <c r="D15" s="1829"/>
      <c r="E15" s="1829"/>
      <c r="F15" s="1829"/>
      <c r="G15" s="1829"/>
      <c r="H15" s="1829"/>
      <c r="I15" s="3"/>
      <c r="J15" s="3"/>
      <c r="K15" s="4"/>
      <c r="L15" s="4"/>
    </row>
    <row r="16" spans="1:26" ht="30" customHeight="1">
      <c r="A16" s="4"/>
      <c r="B16" s="121" t="s">
        <v>219</v>
      </c>
      <c r="C16" s="1829" t="s">
        <v>414</v>
      </c>
      <c r="D16" s="1829"/>
      <c r="E16" s="1829"/>
      <c r="F16" s="1829"/>
      <c r="G16" s="1829"/>
      <c r="H16" s="1829"/>
      <c r="I16" s="3"/>
      <c r="J16" s="3"/>
      <c r="K16" s="4"/>
      <c r="L16" s="4"/>
    </row>
    <row r="17" spans="1:13" ht="17.399999999999999" customHeight="1">
      <c r="A17" s="4"/>
      <c r="B17" s="403"/>
      <c r="C17" s="1861" t="s">
        <v>415</v>
      </c>
      <c r="D17" s="1861"/>
      <c r="E17" s="1861"/>
      <c r="F17" s="184"/>
      <c r="H17" s="1300" t="str">
        <f>IF(AND(Data1!B469=TRUE,Demographic&lt;&gt;"Elderly ALF",Demographic&lt;&gt;"Elderly Non-ALF"),"Verify Demographic Commitment","")</f>
        <v/>
      </c>
      <c r="J17" s="3"/>
      <c r="K17" s="588">
        <v>0</v>
      </c>
      <c r="L17" s="390">
        <f>IF(Data1!B469=TRUE,K17,0)</f>
        <v>0</v>
      </c>
      <c r="M17" s="570" t="str">
        <f t="shared" ref="M17:M21" si="1">CHOOSE(K17+1,"Not to be included in this RFA","A REQUIRED input field for this RFA","An OPTIONAL input field for this RFA")</f>
        <v>Not to be included in this RFA</v>
      </c>
    </row>
    <row r="18" spans="1:13" ht="17.399999999999999" customHeight="1">
      <c r="A18" s="4"/>
      <c r="B18" s="190"/>
      <c r="C18" s="1861" t="s">
        <v>416</v>
      </c>
      <c r="D18" s="1861"/>
      <c r="E18" s="1861"/>
      <c r="F18" s="184"/>
      <c r="H18" s="1300" t="str">
        <f>IF(AND(Data1!B470=TRUE,Demographic&lt;&gt;"Elderly ALF",Demographic&lt;&gt;"Elderly Non-ALF"),"Verify Demographic Commitment","")</f>
        <v/>
      </c>
      <c r="J18" s="3"/>
      <c r="K18" s="588">
        <v>0</v>
      </c>
      <c r="L18" s="390">
        <f>IF(Data1!B470=TRUE,K18,0)</f>
        <v>0</v>
      </c>
      <c r="M18" s="570" t="str">
        <f t="shared" si="1"/>
        <v>Not to be included in this RFA</v>
      </c>
    </row>
    <row r="19" spans="1:13" ht="17.399999999999999" customHeight="1">
      <c r="A19" s="4"/>
      <c r="B19" s="190"/>
      <c r="C19" s="1861" t="s">
        <v>417</v>
      </c>
      <c r="D19" s="1861"/>
      <c r="E19" s="1861"/>
      <c r="F19" s="184"/>
      <c r="H19" s="1300" t="str">
        <f>IF(AND(Data1!B471=TRUE,Demographic&lt;&gt;"Elderly ALF",Demographic&lt;&gt;"Elderly Non-ALF"),"Verify Demographic Commitment","")</f>
        <v/>
      </c>
      <c r="J19" s="3"/>
      <c r="K19" s="588">
        <v>0</v>
      </c>
      <c r="L19" s="390">
        <f>IF(Data1!B471=TRUE,K19,0)</f>
        <v>0</v>
      </c>
      <c r="M19" s="570" t="str">
        <f t="shared" si="1"/>
        <v>Not to be included in this RFA</v>
      </c>
    </row>
    <row r="20" spans="1:13" ht="17.399999999999999" customHeight="1">
      <c r="A20" s="4"/>
      <c r="B20" s="190"/>
      <c r="C20" s="1861" t="s">
        <v>418</v>
      </c>
      <c r="D20" s="1861"/>
      <c r="E20" s="1861"/>
      <c r="F20" s="184"/>
      <c r="H20" s="1300" t="str">
        <f>IF(AND(Data1!B472=TRUE,Demographic&lt;&gt;"Elderly ALF",Demographic&lt;&gt;"Elderly Non-ALF"),"Verify Demographic Commitment","")</f>
        <v/>
      </c>
      <c r="J20" s="3"/>
      <c r="K20" s="588">
        <v>0</v>
      </c>
      <c r="L20" s="390">
        <f>IF(Data1!B472=TRUE,K20,0)</f>
        <v>0</v>
      </c>
      <c r="M20" s="570" t="str">
        <f t="shared" si="1"/>
        <v>Not to be included in this RFA</v>
      </c>
    </row>
    <row r="21" spans="1:13" ht="17.399999999999999" customHeight="1">
      <c r="A21" s="4"/>
      <c r="B21" s="190"/>
      <c r="C21" s="1861" t="s">
        <v>419</v>
      </c>
      <c r="D21" s="1861"/>
      <c r="E21" s="1861"/>
      <c r="F21" s="184"/>
      <c r="H21" s="1300" t="str">
        <f>IF(AND(Data1!B473=TRUE,Demographic&lt;&gt;"Elderly ALF",Demographic&lt;&gt;"Elderly Non-ALF"),"Verify Demographic Commitment","")</f>
        <v/>
      </c>
      <c r="J21" s="3"/>
      <c r="K21" s="588">
        <v>0</v>
      </c>
      <c r="L21" s="390">
        <f>IF(Data1!B473=TRUE,K21,0)</f>
        <v>0</v>
      </c>
      <c r="M21" s="570" t="str">
        <f t="shared" si="1"/>
        <v>Not to be included in this RFA</v>
      </c>
    </row>
    <row r="22" spans="1:13" ht="14.4" customHeight="1">
      <c r="A22" s="4"/>
      <c r="B22" s="44"/>
      <c r="C22" s="1740" t="str">
        <f>IF(AND(I22&lt;3,OR(Demographic="Elderly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The above programs are not applicable to the selected Demographic Commitment</v>
      </c>
      <c r="D22" s="1740"/>
      <c r="E22" s="1740"/>
      <c r="F22" s="1740"/>
      <c r="H22" s="4"/>
      <c r="I22" s="192">
        <f>COUNTIF(Data1!B469:B473,"TRUE")</f>
        <v>0</v>
      </c>
      <c r="J22" s="192"/>
      <c r="K22" s="4"/>
      <c r="L22" s="4"/>
    </row>
  </sheetData>
  <sheetProtection algorithmName="SHA-512" hashValue="EOK+7s7Vmvp6E28z9FGGpfe56ejv7J3j/T9JrJA7iY9WFIbXt6NZoBD5zfF/M2PnfBr9KzxjgeEWRnnF34TMmg==" saltValue="DfcyuTK+rjELwDhWYr0RLA==" spinCount="100000" sheet="1" objects="1" scenarios="1" selectLockedCells="1"/>
  <mergeCells count="20">
    <mergeCell ref="K1:U2"/>
    <mergeCell ref="C9:E9"/>
    <mergeCell ref="C10:E10"/>
    <mergeCell ref="C17:E17"/>
    <mergeCell ref="C18:E18"/>
    <mergeCell ref="C16:H16"/>
    <mergeCell ref="C14:H14"/>
    <mergeCell ref="C15:H15"/>
    <mergeCell ref="C6:E6"/>
    <mergeCell ref="C7:E7"/>
    <mergeCell ref="C8:E8"/>
    <mergeCell ref="A1:H1"/>
    <mergeCell ref="B3:E3"/>
    <mergeCell ref="C5:E5"/>
    <mergeCell ref="C19:E19"/>
    <mergeCell ref="C20:E20"/>
    <mergeCell ref="B12:E12"/>
    <mergeCell ref="C11:F11"/>
    <mergeCell ref="C22:F22"/>
    <mergeCell ref="C21:E21"/>
  </mergeCells>
  <conditionalFormatting sqref="C11 C22">
    <cfRule type="expression" dxfId="300" priority="5" stopIfTrue="1">
      <formula>AND($C11="Please select at least three of the above resident programs before proceeding",OR(Demographic="Family",Demographic="Workforce"))</formula>
    </cfRule>
    <cfRule type="cellIs" dxfId="299" priority="8" operator="equal">
      <formula>"The above programs are not applicable to the selected Demographic Commitment"</formula>
    </cfRule>
  </conditionalFormatting>
  <conditionalFormatting sqref="C11">
    <cfRule type="expression" dxfId="298" priority="6" stopIfTrue="1">
      <formula>AND($I11&gt;0,$C11="The above programs are not applicable to the selected Demographic Commitment",AND(Demographic&lt;&gt;"Family",Demographic&lt;&gt;"Workforce"))</formula>
    </cfRule>
  </conditionalFormatting>
  <conditionalFormatting sqref="C22:F22">
    <cfRule type="expression" dxfId="297" priority="3" stopIfTrue="1">
      <formula>AND($I22&gt;0,$C22="The above programs are not applicable to the selected Demographic Commitment",AND(Demographic&lt;&gt;"Elderly Non-ALF",Demographic&lt;&gt;"Elderly ALF"))</formula>
    </cfRule>
    <cfRule type="expression" dxfId="296" priority="30">
      <formula>$C$22="Please select at least three of the above resident programs before proceeding"</formula>
    </cfRule>
  </conditionalFormatting>
  <conditionalFormatting sqref="J5:J10 J17:J21">
    <cfRule type="expression" dxfId="295" priority="1276">
      <formula>NOT(ISBLANK($I$11:$I$22))</formula>
    </cfRule>
  </conditionalFormatting>
  <conditionalFormatting sqref="B5:H10">
    <cfRule type="expression" dxfId="294" priority="1289">
      <formula>$K5=0</formula>
    </cfRule>
  </conditionalFormatting>
  <conditionalFormatting sqref="B17:H21">
    <cfRule type="expression" dxfId="293" priority="1301">
      <formula>$K17=0</formula>
    </cfRule>
  </conditionalFormatting>
  <dataValidations count="2">
    <dataValidation type="list" allowBlank="1" showDropDown="1" showErrorMessage="1" error="To select this Resident Program, type in &quot;x&quot;." sqref="B5:B10 B17:B21" xr:uid="{00000000-0002-0000-0700-000000000000}">
      <formula1>"x,X"</formula1>
    </dataValidation>
    <dataValidation type="custom" allowBlank="1" showInputMessage="1" showErrorMessage="1" sqref="K5:K10 K17:K21" xr:uid="{F511F796-4CA2-46C5-8849-DBB0F5358D42}">
      <formula1>AND(K5&gt;=0,K5&lt;3,K5=ROUND(K5,0))</formula1>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ignoredErrors>
    <ignoredError sqref="B14:B16"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4578" r:id="rId4" name="Check Box 2">
              <controlPr locked="0" defaultSize="0" autoFill="0" autoLine="0" autoPict="0">
                <anchor moveWithCells="1">
                  <from>
                    <xdr:col>1</xdr:col>
                    <xdr:colOff>45720</xdr:colOff>
                    <xdr:row>5</xdr:row>
                    <xdr:rowOff>0</xdr:rowOff>
                  </from>
                  <to>
                    <xdr:col>4</xdr:col>
                    <xdr:colOff>175260</xdr:colOff>
                    <xdr:row>6</xdr:row>
                    <xdr:rowOff>7620</xdr:rowOff>
                  </to>
                </anchor>
              </controlPr>
            </control>
          </mc:Choice>
        </mc:AlternateContent>
        <mc:AlternateContent xmlns:mc="http://schemas.openxmlformats.org/markup-compatibility/2006">
          <mc:Choice Requires="x14">
            <control shapeId="24579" r:id="rId5" name="Check Box 3">
              <controlPr locked="0" defaultSize="0" autoFill="0" autoLine="0" autoPict="0">
                <anchor moveWithCells="1">
                  <from>
                    <xdr:col>1</xdr:col>
                    <xdr:colOff>45720</xdr:colOff>
                    <xdr:row>6</xdr:row>
                    <xdr:rowOff>0</xdr:rowOff>
                  </from>
                  <to>
                    <xdr:col>4</xdr:col>
                    <xdr:colOff>175260</xdr:colOff>
                    <xdr:row>7</xdr:row>
                    <xdr:rowOff>7620</xdr:rowOff>
                  </to>
                </anchor>
              </controlPr>
            </control>
          </mc:Choice>
        </mc:AlternateContent>
        <mc:AlternateContent xmlns:mc="http://schemas.openxmlformats.org/markup-compatibility/2006">
          <mc:Choice Requires="x14">
            <control shapeId="24581" r:id="rId6" name="Check Box 5">
              <controlPr locked="0" defaultSize="0" autoFill="0" autoLine="0" autoPict="0">
                <anchor moveWithCells="1">
                  <from>
                    <xdr:col>1</xdr:col>
                    <xdr:colOff>45720</xdr:colOff>
                    <xdr:row>7</xdr:row>
                    <xdr:rowOff>0</xdr:rowOff>
                  </from>
                  <to>
                    <xdr:col>4</xdr:col>
                    <xdr:colOff>175260</xdr:colOff>
                    <xdr:row>8</xdr:row>
                    <xdr:rowOff>7620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45720</xdr:colOff>
                    <xdr:row>8</xdr:row>
                    <xdr:rowOff>0</xdr:rowOff>
                  </from>
                  <to>
                    <xdr:col>4</xdr:col>
                    <xdr:colOff>175260</xdr:colOff>
                    <xdr:row>9</xdr:row>
                    <xdr:rowOff>7620</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38100</xdr:colOff>
                    <xdr:row>8</xdr:row>
                    <xdr:rowOff>213360</xdr:rowOff>
                  </from>
                  <to>
                    <xdr:col>4</xdr:col>
                    <xdr:colOff>160020</xdr:colOff>
                    <xdr:row>10</xdr:row>
                    <xdr:rowOff>0</xdr:rowOff>
                  </to>
                </anchor>
              </controlPr>
            </control>
          </mc:Choice>
        </mc:AlternateContent>
        <mc:AlternateContent xmlns:mc="http://schemas.openxmlformats.org/markup-compatibility/2006">
          <mc:Choice Requires="x14">
            <control shapeId="24590" r:id="rId9" name="Check Box 14">
              <controlPr locked="0" defaultSize="0" autoFill="0" autoLine="0" autoPict="0">
                <anchor moveWithCells="1">
                  <from>
                    <xdr:col>1</xdr:col>
                    <xdr:colOff>45720</xdr:colOff>
                    <xdr:row>4</xdr:row>
                    <xdr:rowOff>0</xdr:rowOff>
                  </from>
                  <to>
                    <xdr:col>4</xdr:col>
                    <xdr:colOff>175260</xdr:colOff>
                    <xdr:row>5</xdr:row>
                    <xdr:rowOff>7620</xdr:rowOff>
                  </to>
                </anchor>
              </controlPr>
            </control>
          </mc:Choice>
        </mc:AlternateContent>
        <mc:AlternateContent xmlns:mc="http://schemas.openxmlformats.org/markup-compatibility/2006">
          <mc:Choice Requires="x14">
            <control shapeId="24591" r:id="rId10" name="Check Box 15">
              <controlPr locked="0" defaultSize="0" autoFill="0" autoLine="0" autoPict="0" altText="">
                <anchor moveWithCells="1">
                  <from>
                    <xdr:col>1</xdr:col>
                    <xdr:colOff>38100</xdr:colOff>
                    <xdr:row>16</xdr:row>
                    <xdr:rowOff>7620</xdr:rowOff>
                  </from>
                  <to>
                    <xdr:col>4</xdr:col>
                    <xdr:colOff>160020</xdr:colOff>
                    <xdr:row>17</xdr:row>
                    <xdr:rowOff>22860</xdr:rowOff>
                  </to>
                </anchor>
              </controlPr>
            </control>
          </mc:Choice>
        </mc:AlternateContent>
        <mc:AlternateContent xmlns:mc="http://schemas.openxmlformats.org/markup-compatibility/2006">
          <mc:Choice Requires="x14">
            <control shapeId="24592" r:id="rId11" name="Check Box 16">
              <controlPr locked="0" defaultSize="0" autoFill="0" autoLine="0" autoPict="0" altText="">
                <anchor moveWithCells="1">
                  <from>
                    <xdr:col>1</xdr:col>
                    <xdr:colOff>38100</xdr:colOff>
                    <xdr:row>17</xdr:row>
                    <xdr:rowOff>7620</xdr:rowOff>
                  </from>
                  <to>
                    <xdr:col>4</xdr:col>
                    <xdr:colOff>160020</xdr:colOff>
                    <xdr:row>18</xdr:row>
                    <xdr:rowOff>22860</xdr:rowOff>
                  </to>
                </anchor>
              </controlPr>
            </control>
          </mc:Choice>
        </mc:AlternateContent>
        <mc:AlternateContent xmlns:mc="http://schemas.openxmlformats.org/markup-compatibility/2006">
          <mc:Choice Requires="x14">
            <control shapeId="24593" r:id="rId12" name="Check Box 17">
              <controlPr locked="0" defaultSize="0" autoFill="0" autoLine="0" autoPict="0" altText="">
                <anchor moveWithCells="1">
                  <from>
                    <xdr:col>1</xdr:col>
                    <xdr:colOff>38100</xdr:colOff>
                    <xdr:row>18</xdr:row>
                    <xdr:rowOff>7620</xdr:rowOff>
                  </from>
                  <to>
                    <xdr:col>4</xdr:col>
                    <xdr:colOff>160020</xdr:colOff>
                    <xdr:row>19</xdr:row>
                    <xdr:rowOff>22860</xdr:rowOff>
                  </to>
                </anchor>
              </controlPr>
            </control>
          </mc:Choice>
        </mc:AlternateContent>
        <mc:AlternateContent xmlns:mc="http://schemas.openxmlformats.org/markup-compatibility/2006">
          <mc:Choice Requires="x14">
            <control shapeId="24595" r:id="rId13" name="Check Box 19">
              <controlPr locked="0" defaultSize="0" autoFill="0" autoLine="0" autoPict="0" altText="">
                <anchor moveWithCells="1">
                  <from>
                    <xdr:col>1</xdr:col>
                    <xdr:colOff>38100</xdr:colOff>
                    <xdr:row>19</xdr:row>
                    <xdr:rowOff>30480</xdr:rowOff>
                  </from>
                  <to>
                    <xdr:col>4</xdr:col>
                    <xdr:colOff>160020</xdr:colOff>
                    <xdr:row>20</xdr:row>
                    <xdr:rowOff>38100</xdr:rowOff>
                  </to>
                </anchor>
              </controlPr>
            </control>
          </mc:Choice>
        </mc:AlternateContent>
        <mc:AlternateContent xmlns:mc="http://schemas.openxmlformats.org/markup-compatibility/2006">
          <mc:Choice Requires="x14">
            <control shapeId="24596" r:id="rId14" name="Check Box 20">
              <controlPr locked="0" defaultSize="0" autoFill="0" autoLine="0" autoPict="0" altText="">
                <anchor moveWithCells="1">
                  <from>
                    <xdr:col>1</xdr:col>
                    <xdr:colOff>38100</xdr:colOff>
                    <xdr:row>20</xdr:row>
                    <xdr:rowOff>7620</xdr:rowOff>
                  </from>
                  <to>
                    <xdr:col>4</xdr:col>
                    <xdr:colOff>160020</xdr:colOff>
                    <xdr:row>21</xdr:row>
                    <xdr:rowOff>22860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132" id="{CCD5B67E-62E8-41AB-814E-9642CA5492F6}">
            <xm:f>Data1!$E$508="Yes"</xm:f>
            <x14:dxf>
              <font>
                <color theme="0"/>
              </font>
              <fill>
                <patternFill>
                  <bgColor theme="0"/>
                </patternFill>
              </fill>
              <border>
                <left/>
                <right/>
                <top/>
                <bottom/>
                <vertical/>
                <horizontal/>
              </border>
            </x14:dxf>
          </x14:cfRule>
          <xm:sqref>K5:M10 K17:M21</xm:sqref>
        </x14:conditionalFormatting>
        <x14:conditionalFormatting xmlns:xm="http://schemas.microsoft.com/office/excel/2006/main">
          <x14:cfRule type="expression" priority="1290" stopIfTrue="1" id="{00000000-000E-0000-1000-00000A000000}">
            <xm:f>AND(Data1!$B462=TRUE,AND(Demographic&lt;&gt;"Family",Demographic&lt;&gt;"Workforce"))</xm:f>
            <x14:dxf>
              <font>
                <color rgb="FFC00000"/>
              </font>
              <fill>
                <patternFill>
                  <bgColor rgb="FFFFE6FF"/>
                </patternFill>
              </fill>
            </x14:dxf>
          </x14:cfRule>
          <x14:cfRule type="expression" priority="1291" id="{00000000-000E-0000-1000-00000C000000}">
            <xm:f>AND(Data1!$B462=TRUE,OR(Demographic="Family",Demographic="Workforce"))</xm:f>
            <x14:dxf>
              <fill>
                <patternFill>
                  <bgColor theme="9" tint="0.79998168889431442"/>
                </patternFill>
              </fill>
            </x14:dxf>
          </x14:cfRule>
          <xm:sqref>B5:H10</xm:sqref>
        </x14:conditionalFormatting>
        <x14:conditionalFormatting xmlns:xm="http://schemas.microsoft.com/office/excel/2006/main">
          <x14:cfRule type="expression" priority="1300" stopIfTrue="1" id="{00000000-000E-0000-1000-000004000000}">
            <xm:f>AND(Data1!$B469=TRUE,AND(Demographic&lt;&gt;"Elderly Non-ALF",Demographic&lt;&gt;"Elderly ALF"))</xm:f>
            <x14:dxf>
              <font>
                <color rgb="FFC00000"/>
              </font>
              <fill>
                <patternFill>
                  <bgColor rgb="FFFFE6FF"/>
                </patternFill>
              </fill>
            </x14:dxf>
          </x14:cfRule>
          <x14:cfRule type="expression" priority="1302" id="{00000000-000E-0000-1000-00001A000000}">
            <xm:f>Data1!$B469=TRUE</xm:f>
            <x14:dxf>
              <fill>
                <patternFill>
                  <bgColor theme="9" tint="0.79998168889431442"/>
                </patternFill>
              </fill>
            </x14:dxf>
          </x14:cfRule>
          <xm:sqref>B17:H21</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Z305"/>
  <sheetViews>
    <sheetView showGridLines="0" zoomScaleNormal="100" zoomScaleSheetLayoutView="100" workbookViewId="0">
      <pane ySplit="2" topLeftCell="A3" activePane="bottomLeft" state="frozen"/>
      <selection activeCell="I30" sqref="I30:I31"/>
      <selection pane="bottomLeft" activeCell="I72" sqref="I72"/>
    </sheetView>
  </sheetViews>
  <sheetFormatPr defaultColWidth="8.5546875" defaultRowHeight="14.4"/>
  <cols>
    <col min="1" max="1" width="3" style="42" customWidth="1"/>
    <col min="2" max="3" width="3.5546875" style="42" customWidth="1"/>
    <col min="4" max="4" width="4.44140625" style="42" customWidth="1"/>
    <col min="5" max="6" width="14.5546875" style="42" customWidth="1"/>
    <col min="7" max="7" width="19.5546875" style="42" customWidth="1"/>
    <col min="8" max="9" width="24.109375" style="42" customWidth="1"/>
    <col min="10" max="10" width="16.109375" customWidth="1"/>
    <col min="11" max="11" width="3.5546875" style="230" customWidth="1"/>
    <col min="12" max="12" width="3.5546875" style="42" customWidth="1"/>
    <col min="13" max="13" width="31.5546875" style="42" customWidth="1"/>
    <col min="14" max="15" width="3.5546875" style="42" customWidth="1"/>
    <col min="16" max="16" width="23.5546875" style="42" customWidth="1"/>
    <col min="17" max="16384" width="8.5546875" style="42"/>
  </cols>
  <sheetData>
    <row r="1" spans="1:26" ht="35.85" customHeight="1" thickBot="1">
      <c r="A1" s="1714" t="s">
        <v>420</v>
      </c>
      <c r="B1" s="1715"/>
      <c r="C1" s="1715"/>
      <c r="D1" s="1715"/>
      <c r="E1" s="1715"/>
      <c r="F1" s="1715"/>
      <c r="G1" s="1715"/>
      <c r="H1" s="1715"/>
      <c r="I1" s="1716"/>
      <c r="J1" s="407"/>
      <c r="K1" s="2049" t="str">
        <f ca="1">"There are "&amp;TEXT(COUNTIF($K$3:$K$248,"=1"),"0")&amp;" required input fields and "&amp;TEXT(COUNTIF($K$3:$K$248,"=2")+COUNTIF(K202:K205,"=2"),"0")&amp;" optional input fields on this tab."&amp;CHAR(10)&amp;"There "&amp;IF(COUNTIFS($K$3:$K$248,"=1",$L$3:$L$248,"=1")=1,"is 1 required input field","are "&amp;TEXT(COUNTIFS($K$3:$K$248,"=1",$L$3:$L$248,"=1"),"0")&amp;" required input fields")&amp;" and "&amp;TEXT(COUNTIFS($K$3:$K$248,"=2",$L$3:$L$248,"=2")+IF(AND(L202=2,H202&lt;&gt;""),1,0)+IF(AND(L203=2,H203&lt;&gt;""),1,0)+IF(AND(L204=2,H204&lt;&gt;""),1,0)+IF(AND(L205=2,H205&lt;&gt;""),1,0),"0")&amp;" optional input field"&amp;IF(COUNTIFS($K$3:$K$248,"=2",$L$3:$L$248,"=2")+IF(AND(L203=2,H203&lt;&gt;""),1,0)+IF(AND(L204=2,H204&lt;&gt;""),1,0)+IF(AND(L205=2,H205&lt;&gt;""),1,0)=1," with an entry","s with entries")&amp;" on this tab."&amp;CHAR(10)&amp;"There "&amp;IF(Data1!G509=1,"is ","are ")&amp;TEXT(Data1!G509,"0")&amp;" required input field"&amp;IF(Data1!G509=1," that need an entry","s that need entries")&amp;" and "&amp;TEXT(Data1!H509,"0")&amp;" optional input field"&amp;IF(Data1!H509=1," that may or may not need an entry","s that may or may not need entries")&amp;" on this tab."</f>
        <v>There are 3 required input fields and 6 optional input fields on this tab.
There are 2 required input fields and 0 optional input fields with entries on this tab.
There is 1 required input field that need an entry and 6 optional input fields that may or may not need entries on this tab.</v>
      </c>
      <c r="L1" s="2049"/>
      <c r="M1" s="2049"/>
      <c r="N1" s="2049"/>
      <c r="O1" s="2049"/>
      <c r="P1" s="2049"/>
      <c r="Q1" s="2049"/>
      <c r="R1" s="2049"/>
      <c r="S1" s="2049"/>
      <c r="T1" s="2049"/>
      <c r="U1" s="2049"/>
      <c r="V1" s="1633"/>
      <c r="W1" s="1633"/>
      <c r="X1" s="1633"/>
      <c r="Y1" s="1633"/>
      <c r="Z1" s="1633"/>
    </row>
    <row r="2" spans="1:26" ht="14.4" customHeight="1">
      <c r="A2" s="4"/>
      <c r="B2" s="4"/>
      <c r="C2" s="4"/>
      <c r="D2" s="4"/>
      <c r="E2" s="4"/>
      <c r="F2" s="4"/>
      <c r="G2" s="4"/>
      <c r="H2" s="4"/>
      <c r="I2" s="4"/>
      <c r="J2" s="407"/>
      <c r="K2" s="2049"/>
      <c r="L2" s="2049"/>
      <c r="M2" s="2049"/>
      <c r="N2" s="2049"/>
      <c r="O2" s="2049"/>
      <c r="P2" s="2049"/>
      <c r="Q2" s="2049"/>
      <c r="R2" s="2049"/>
      <c r="S2" s="2049"/>
      <c r="T2" s="2049"/>
      <c r="U2" s="2049"/>
      <c r="V2" s="1633"/>
      <c r="W2" s="1633"/>
      <c r="X2" s="1633"/>
      <c r="Y2" s="1633"/>
      <c r="Z2" s="1633"/>
    </row>
    <row r="3" spans="1:26" ht="14.4" customHeight="1">
      <c r="A3" s="174" t="s">
        <v>213</v>
      </c>
      <c r="B3" s="174" t="s">
        <v>421</v>
      </c>
      <c r="C3" s="174"/>
      <c r="D3" s="174"/>
      <c r="E3" s="174"/>
      <c r="F3" s="174"/>
      <c r="G3" s="174"/>
      <c r="H3" s="986"/>
      <c r="I3" s="987"/>
      <c r="J3" s="407"/>
    </row>
    <row r="4" spans="1:26" ht="14.4" hidden="1" customHeight="1">
      <c r="A4" s="4"/>
      <c r="B4" s="180" t="str">
        <f>IF($K$15=0,"",1)</f>
        <v/>
      </c>
      <c r="C4" s="1839" t="s">
        <v>422</v>
      </c>
      <c r="D4" s="1839"/>
      <c r="E4" s="1839"/>
      <c r="F4" s="1839"/>
      <c r="G4" s="1839"/>
      <c r="H4" s="1839"/>
      <c r="I4" s="1839"/>
      <c r="J4" s="407"/>
    </row>
    <row r="5" spans="1:26" ht="10.35" hidden="1" customHeight="1">
      <c r="A5" s="4"/>
      <c r="B5" s="4"/>
      <c r="C5" s="4"/>
      <c r="D5" s="4"/>
      <c r="E5" s="4"/>
      <c r="F5" s="4"/>
      <c r="G5" s="4"/>
      <c r="H5" s="4"/>
      <c r="I5" s="4"/>
      <c r="J5" s="407"/>
    </row>
    <row r="6" spans="1:26" ht="17.399999999999999" hidden="1" customHeight="1">
      <c r="A6" s="4"/>
      <c r="B6" s="7"/>
      <c r="D6" s="2033" t="s">
        <v>976</v>
      </c>
      <c r="E6" s="2033"/>
      <c r="F6" s="2033"/>
      <c r="G6" s="2033"/>
      <c r="H6" s="2033"/>
      <c r="J6" s="407"/>
      <c r="K6" s="496"/>
    </row>
    <row r="7" spans="1:26" ht="14.4" hidden="1" customHeight="1">
      <c r="A7" s="4"/>
      <c r="B7" s="4"/>
      <c r="C7" s="4"/>
      <c r="D7" s="4"/>
      <c r="E7" s="483" t="s">
        <v>960</v>
      </c>
      <c r="F7" s="483"/>
      <c r="G7" s="483"/>
      <c r="H7" s="476" t="str">
        <f>IF(County="&lt;select one&gt;","Select a County",IF(County="Monroe",DS_W_SAIL_PD_FLKeys,"NA"))</f>
        <v>Select a County</v>
      </c>
      <c r="I7" s="4"/>
      <c r="J7" s="407"/>
      <c r="N7" s="588">
        <v>1</v>
      </c>
      <c r="P7" s="14" t="str">
        <f>IF(N7="","",IF(N7=0,"Not ","")&amp;"Applicable to this RFA")</f>
        <v>Applicable to this RFA</v>
      </c>
    </row>
    <row r="8" spans="1:26" ht="14.4" hidden="1" customHeight="1">
      <c r="A8" s="4"/>
      <c r="B8" s="4"/>
      <c r="C8" s="4"/>
      <c r="D8" s="4"/>
      <c r="E8" s="484" t="s">
        <v>961</v>
      </c>
      <c r="F8" s="484"/>
      <c r="G8" s="484"/>
      <c r="H8" s="485" t="str">
        <f>IF(County="&lt;select one&gt;","Select a County",IF(OR(total_units_in_setaside_chart&gt;0,N(Market_Avg_Income_Units)=0),IF(County="Monroe",DS_W_SAIL_PU_FLKeys_80Plus,"NA"),"NA"))</f>
        <v>Select a County</v>
      </c>
      <c r="I8" s="458" t="str">
        <f>IF(County="Monroe","(Applicable to "&amp;IF(OR(,N(Market_Avg_Income_Units)&gt;0,total_units_in_setaside_chart&gt;0),TEXT(Total_Units,"0"),"0")&amp;" Units)","")</f>
        <v/>
      </c>
      <c r="J8" s="460"/>
      <c r="N8" s="658">
        <v>1</v>
      </c>
      <c r="P8" s="14" t="str">
        <f>IF(N8="","",IF(N8=0,"Not ","")&amp;"Applicable to this RFA")</f>
        <v>Applicable to this RFA</v>
      </c>
    </row>
    <row r="9" spans="1:26" ht="14.4" hidden="1" customHeight="1">
      <c r="A9" s="4"/>
      <c r="B9" s="4"/>
      <c r="C9" s="4"/>
      <c r="D9" s="4"/>
      <c r="E9" s="484" t="s">
        <v>962</v>
      </c>
      <c r="F9" s="484"/>
      <c r="G9" s="484"/>
      <c r="H9" s="485" t="str">
        <f>IF(County="&lt;select one&gt;","Select a County",IF(County="Monroe",IF('Units, Set-Asides, Bldgs'!F47&gt;0,DS_W_SAIL_PU_FLKeys_No80Plus,"NA"),"NA"))</f>
        <v>Select a County</v>
      </c>
      <c r="I9" s="4" t="str">
        <f>IF(County="Monroe",IF(N(Workforce_AMI_non_avg_inc)+N(Market_Avg_Income_Units)&gt;0,"","(Applicable to "&amp;TEXT(Total_Units,"0")&amp;" Units)"),"")</f>
        <v/>
      </c>
      <c r="J9" s="460"/>
      <c r="N9" s="658">
        <v>1</v>
      </c>
      <c r="P9" s="14" t="str">
        <f>IF(N9="","",IF(N9=0,"Not ","")&amp;"Applicable to this RFA")</f>
        <v>Applicable to this RFA</v>
      </c>
    </row>
    <row r="10" spans="1:26" ht="14.4" hidden="1" customHeight="1">
      <c r="A10" s="4"/>
      <c r="B10" s="4"/>
      <c r="C10" s="4"/>
      <c r="D10" s="4"/>
      <c r="E10" s="484" t="s">
        <v>963</v>
      </c>
      <c r="F10" s="484"/>
      <c r="G10" s="484"/>
      <c r="H10" s="485" t="str">
        <f>IF(County="&lt;select one&gt;","Select a County",IF(County&lt;&gt;"Monroe",DS_W_SAIL_PD,"NA"))</f>
        <v>Select a County</v>
      </c>
      <c r="I10" s="4"/>
      <c r="J10" s="460"/>
      <c r="N10" s="658">
        <v>1</v>
      </c>
      <c r="P10" s="14" t="str">
        <f>IF(N10="","",IF(N10=0,"Not ","")&amp;"Applicable to this RFA")</f>
        <v>Applicable to this RFA</v>
      </c>
    </row>
    <row r="11" spans="1:26" ht="14.4" hidden="1" customHeight="1">
      <c r="A11" s="4"/>
      <c r="B11" s="4"/>
      <c r="C11" s="4"/>
      <c r="D11" s="4"/>
      <c r="E11" s="484" t="s">
        <v>964</v>
      </c>
      <c r="F11" s="484"/>
      <c r="G11" s="484"/>
      <c r="H11" s="485" t="str">
        <f>IF(County="&lt;select one&gt;","Select a County",IF(County&lt;&gt;"Monroe",DS_W_SAIL_PU,"NA"))</f>
        <v>Select a County</v>
      </c>
      <c r="I11" s="4"/>
      <c r="J11" s="460"/>
      <c r="N11" s="658">
        <v>1</v>
      </c>
      <c r="P11" s="14" t="str">
        <f>IF(N11="","",IF(N11=0,"Not ","")&amp;"Applicable to this RFA")</f>
        <v>Applicable to this RFA</v>
      </c>
    </row>
    <row r="12" spans="1:26" ht="10.35" hidden="1" customHeight="1">
      <c r="A12" s="4"/>
      <c r="B12" s="4"/>
      <c r="C12" s="4"/>
      <c r="D12" s="4"/>
      <c r="E12" s="482"/>
      <c r="F12" s="482"/>
      <c r="G12" s="482"/>
      <c r="H12" s="477"/>
      <c r="I12" s="4"/>
      <c r="J12" s="460"/>
      <c r="N12" s="230"/>
    </row>
    <row r="13" spans="1:26" ht="30" hidden="1" customHeight="1">
      <c r="A13" s="4"/>
      <c r="B13" s="4"/>
      <c r="C13" s="4"/>
      <c r="D13" s="4"/>
      <c r="E13" s="2030" t="s">
        <v>1353</v>
      </c>
      <c r="F13" s="2030"/>
      <c r="G13" s="2030"/>
      <c r="H13" s="486" t="str">
        <f>IF(County="&lt;select one&gt;","Select a County",IF(County="Monroe",MIN(N(H7),Total_Units*IF(N(Workforce_AMI_non_avg_inc)+N(Market_Avg_Income_Units)&gt;0,N(H8),N(H9))),MIN(N(H10),Total_Units*N(H11))))</f>
        <v>Select a County</v>
      </c>
      <c r="I13" s="1226" t="s">
        <v>1712</v>
      </c>
      <c r="J13" s="460"/>
      <c r="N13" s="230"/>
    </row>
    <row r="14" spans="1:26" ht="10.35" hidden="1" customHeight="1">
      <c r="A14" s="4"/>
      <c r="B14" s="4"/>
      <c r="C14" s="4"/>
      <c r="D14" s="16"/>
      <c r="H14" s="477"/>
      <c r="I14" s="4"/>
      <c r="J14" s="460"/>
      <c r="N14" s="230"/>
    </row>
    <row r="15" spans="1:26" ht="17.399999999999999" hidden="1" customHeight="1">
      <c r="A15" s="4"/>
      <c r="B15" s="4"/>
      <c r="C15" s="487" t="s">
        <v>224</v>
      </c>
      <c r="D15" s="478" t="s">
        <v>957</v>
      </c>
      <c r="E15" s="478"/>
      <c r="F15" s="478"/>
      <c r="G15" s="478"/>
      <c r="H15" s="479"/>
      <c r="I15" s="1618"/>
      <c r="J15" s="460"/>
      <c r="K15" s="588">
        <v>0</v>
      </c>
      <c r="L15" s="564">
        <f>IF(AND(K15&lt;&gt;0,I15&lt;&gt;""),K15,0)</f>
        <v>0</v>
      </c>
      <c r="M15" s="566" t="str">
        <f>CHOOSE(K15+1,"Not to be included in this RFA","A REQUIRED input field for this RFA","An OPTIONAL input field for this RFA")</f>
        <v>Not to be included in this RFA</v>
      </c>
      <c r="N15" s="230"/>
    </row>
    <row r="16" spans="1:26" ht="10.35" hidden="1" customHeight="1">
      <c r="A16" s="4"/>
      <c r="B16" s="4"/>
      <c r="C16" s="4"/>
      <c r="D16" s="4"/>
      <c r="E16" s="4"/>
      <c r="F16" s="4"/>
      <c r="G16" s="4"/>
      <c r="H16" s="4"/>
      <c r="I16" s="4"/>
      <c r="J16" s="407"/>
      <c r="N16" s="230"/>
    </row>
    <row r="17" spans="1:18" ht="14.4" customHeight="1">
      <c r="A17" s="4"/>
      <c r="B17" s="180">
        <f>IF(AND($K$34=0,$K$42=0),"",MAX(B$4:B16)+1)</f>
        <v>1</v>
      </c>
      <c r="C17" s="4" t="s">
        <v>560</v>
      </c>
      <c r="D17" s="4"/>
      <c r="E17" s="4"/>
      <c r="F17" s="4"/>
      <c r="G17" s="4"/>
      <c r="H17" s="4"/>
      <c r="I17" s="4"/>
      <c r="J17" s="407"/>
      <c r="N17" s="230"/>
    </row>
    <row r="18" spans="1:18" ht="10.35" customHeight="1">
      <c r="A18" s="4"/>
      <c r="B18" s="4"/>
      <c r="C18" s="4"/>
      <c r="D18" s="4"/>
      <c r="E18" s="4"/>
      <c r="F18" s="4"/>
      <c r="G18" s="4"/>
      <c r="H18" s="4"/>
      <c r="I18" s="4"/>
      <c r="J18" s="407"/>
      <c r="N18" s="230"/>
    </row>
    <row r="19" spans="1:18" ht="17.399999999999999" customHeight="1">
      <c r="A19" s="4"/>
      <c r="B19" s="4"/>
      <c r="D19" s="2033" t="s">
        <v>977</v>
      </c>
      <c r="E19" s="2033"/>
      <c r="F19" s="2033"/>
      <c r="G19" s="2033"/>
      <c r="H19" s="2033"/>
      <c r="J19" s="407"/>
      <c r="N19" s="230"/>
    </row>
    <row r="20" spans="1:18" ht="14.4" hidden="1" customHeight="1">
      <c r="A20" s="4"/>
      <c r="B20" s="4"/>
      <c r="C20" s="175"/>
      <c r="D20" s="461"/>
      <c r="E20" s="480" t="s">
        <v>970</v>
      </c>
      <c r="F20" s="480"/>
      <c r="G20" s="480"/>
      <c r="H20" s="495" t="str">
        <f>IF(N20=0,"",IF(County="&lt;select one&gt;","Select a County",IF(VLOOKUP(County,DS_County_Sizes,8,FALSE)="Large",DS_SAIL_PD_Large,"NA")))</f>
        <v/>
      </c>
      <c r="I20" s="660"/>
      <c r="J20" s="460"/>
      <c r="N20" s="588">
        <v>0</v>
      </c>
      <c r="P20" s="14" t="str">
        <f t="shared" ref="P20:P29" si="0">IF(N20="","",IF(N20=0,"Not ","")&amp;"Applicable to this RFA")</f>
        <v>Not Applicable to this RFA</v>
      </c>
    </row>
    <row r="21" spans="1:18" ht="14.4" hidden="1" customHeight="1">
      <c r="A21" s="4"/>
      <c r="B21" s="4"/>
      <c r="C21" s="175"/>
      <c r="D21" s="461"/>
      <c r="E21" s="481" t="s">
        <v>971</v>
      </c>
      <c r="F21" s="481"/>
      <c r="G21" s="481"/>
      <c r="H21" s="494" t="str">
        <f>IF(N21=0,"",IF(County="&lt;select one&gt;","Select a County",IF(OR(VLOOKUP(County,DS_County_Sizes,8,FALSE)="Small",VLOOKUP(County,DS_County_Sizes,8,FALSE)="Medium"),DS_SAIL_PD_Sm_Med,"NA")))</f>
        <v/>
      </c>
      <c r="I21" s="660"/>
      <c r="J21" s="460"/>
      <c r="N21" s="588">
        <v>0</v>
      </c>
      <c r="P21" s="14" t="str">
        <f t="shared" si="0"/>
        <v>Not Applicable to this RFA</v>
      </c>
    </row>
    <row r="22" spans="1:18" ht="14.4" hidden="1" customHeight="1">
      <c r="A22" s="4"/>
      <c r="B22" s="4"/>
      <c r="C22" s="175"/>
      <c r="D22" s="461"/>
      <c r="E22" s="481" t="s">
        <v>973</v>
      </c>
      <c r="F22" s="481"/>
      <c r="G22" s="481"/>
      <c r="H22" s="494" t="str">
        <f>IF(N22=0,"",IF(County="&lt;select one&gt;","Select a County",IF(County="Miami-Dade",DS_SAIL_PD_Min_MD,"NA")))</f>
        <v/>
      </c>
      <c r="I22" s="660"/>
      <c r="J22" s="460"/>
      <c r="N22" s="588">
        <v>0</v>
      </c>
      <c r="P22" s="14" t="str">
        <f t="shared" si="0"/>
        <v>Not Applicable to this RFA</v>
      </c>
    </row>
    <row r="23" spans="1:18" ht="14.4" hidden="1" customHeight="1">
      <c r="A23" s="4"/>
      <c r="B23" s="4"/>
      <c r="C23" s="175"/>
      <c r="D23" s="461"/>
      <c r="E23" s="489" t="s">
        <v>972</v>
      </c>
      <c r="F23" s="489"/>
      <c r="G23" s="489"/>
      <c r="H23" s="510" t="str">
        <f>IF(N23=0,"",IF(Development_Category="&lt;select one&gt;","Select a Development Category",IF(OR(Development_Category="Preservation",Development_Category="Acquisition and Preservation",Development_Category="Rehabilitation",Development_Category="Acquisition and Rehabilitation"),DS_SAIL_PD_Pres,"NA")))</f>
        <v/>
      </c>
      <c r="I23" s="492" t="s">
        <v>978</v>
      </c>
      <c r="J23" s="460"/>
      <c r="K23" s="42"/>
      <c r="N23" s="588">
        <v>0</v>
      </c>
      <c r="P23" s="14" t="str">
        <f t="shared" si="0"/>
        <v>Not Applicable to this RFA</v>
      </c>
      <c r="R23" s="1242"/>
    </row>
    <row r="24" spans="1:18" ht="14.4" customHeight="1">
      <c r="A24" s="4"/>
      <c r="B24" s="4"/>
      <c r="C24" s="175"/>
      <c r="D24" s="461"/>
      <c r="E24" s="1413" t="s">
        <v>982</v>
      </c>
      <c r="F24" s="1413"/>
      <c r="G24" s="1413"/>
      <c r="H24" s="1440">
        <f>IF(N24=0,"",DS_SAIL_PD_Demo)</f>
        <v>2950000</v>
      </c>
      <c r="I24" s="492"/>
      <c r="J24" s="460"/>
      <c r="K24" s="42"/>
      <c r="N24" s="588">
        <v>1</v>
      </c>
      <c r="P24" s="14" t="str">
        <f t="shared" si="0"/>
        <v>Applicable to this RFA</v>
      </c>
    </row>
    <row r="25" spans="1:18" ht="14.4" customHeight="1">
      <c r="A25" s="4"/>
      <c r="B25" s="4"/>
      <c r="C25" s="175"/>
      <c r="D25" s="1415"/>
      <c r="E25" s="481" t="s">
        <v>1993</v>
      </c>
      <c r="F25" s="481"/>
      <c r="G25" s="481"/>
      <c r="H25" s="494">
        <f>MIN(ARP_Request_Amount,Max_ARP)</f>
        <v>0</v>
      </c>
      <c r="I25" s="492"/>
      <c r="J25" s="1407"/>
      <c r="K25" s="42"/>
      <c r="N25" s="588">
        <v>1</v>
      </c>
      <c r="P25" s="14" t="str">
        <f t="shared" ref="P25" si="1">IF(N25="","",IF(N25=0,"Not ","")&amp;"Applicable to this RFA")</f>
        <v>Applicable to this RFA</v>
      </c>
    </row>
    <row r="26" spans="1:18" ht="14.4" hidden="1" customHeight="1">
      <c r="A26" s="4"/>
      <c r="B26" s="3"/>
      <c r="C26" s="1360"/>
      <c r="D26" s="18"/>
      <c r="E26" s="1361" t="s">
        <v>985</v>
      </c>
      <c r="F26" s="1361"/>
      <c r="G26" s="1361"/>
      <c r="H26" s="1362" t="str">
        <f>IF(N26=0,"",IF(Development_Category="&lt;select one&gt;","Select a Development Category",IF(OR(Development_Category="New Construction",Development_Category="Redevelopment",Development_Category="Acquisition and Redevelopment"),DS_SAIL_PU_NC,"NA")))</f>
        <v/>
      </c>
      <c r="I26" s="1241" t="str">
        <f>IF(N26=0,"","("&amp;TEXT(N(H26)*SUM('Proposed Development Info'!H72:H80),"$#,##0")&amp;" Per Development)")</f>
        <v/>
      </c>
      <c r="J26" s="467"/>
      <c r="K26" s="42"/>
      <c r="N26" s="588">
        <v>0</v>
      </c>
      <c r="P26" s="14" t="str">
        <f>IF(N26="","",IF(N26=0,"Not ","")&amp;"Applicable to this RFA")</f>
        <v>Not Applicable to this RFA</v>
      </c>
    </row>
    <row r="27" spans="1:18" ht="14.4" hidden="1" customHeight="1">
      <c r="A27" s="4"/>
      <c r="B27" s="4"/>
      <c r="C27" s="175"/>
      <c r="D27" s="468"/>
      <c r="E27" s="481" t="s">
        <v>986</v>
      </c>
      <c r="F27" s="481"/>
      <c r="G27" s="481"/>
      <c r="H27" s="494" t="str">
        <f>IF(N27=0,"",IF(Development_Category="&lt;select one&gt;","Select a Development Category",IF(OR(Development_Category="Rehabilitation",Development_Category="Acquisition and Rehabilitation"),DS_SAIL_PU_SR,"NA")))</f>
        <v/>
      </c>
      <c r="I27" s="492"/>
      <c r="J27" s="467"/>
      <c r="K27" s="42"/>
      <c r="N27" s="588">
        <v>0</v>
      </c>
      <c r="P27" s="14" t="str">
        <f>IF(N27="","",IF(N27=0,"Not ","")&amp;"Applicable to this RFA")</f>
        <v>Not Applicable to this RFA</v>
      </c>
    </row>
    <row r="28" spans="1:18" ht="14.4" hidden="1" customHeight="1">
      <c r="A28" s="4"/>
      <c r="B28" s="4"/>
      <c r="C28" s="175"/>
      <c r="D28" s="461"/>
      <c r="E28" s="481" t="s">
        <v>974</v>
      </c>
      <c r="F28" s="481"/>
      <c r="G28" s="481"/>
      <c r="H28" s="494" t="str">
        <f>IF(N28=0,"",IF(Self_Sourced_Applicant="&lt;select one&gt;","Identify Status",IF(Self_Sourced_Applicant="Yes",DS_SAIL_PU_SS,"NA")))</f>
        <v/>
      </c>
      <c r="I28" s="660"/>
      <c r="J28" s="460"/>
      <c r="K28" s="42"/>
      <c r="N28" s="588">
        <v>0</v>
      </c>
      <c r="P28" s="14" t="str">
        <f t="shared" si="0"/>
        <v>Not Applicable to this RFA</v>
      </c>
    </row>
    <row r="29" spans="1:18" ht="14.4" hidden="1" customHeight="1">
      <c r="A29" s="4"/>
      <c r="B29" s="4"/>
      <c r="C29" s="175"/>
      <c r="D29" s="461"/>
      <c r="E29" s="481" t="s">
        <v>975</v>
      </c>
      <c r="F29" s="481"/>
      <c r="G29" s="481"/>
      <c r="H29" s="494" t="str">
        <f>IF(N29=0,"",IF(Self_Sourced_Applicant="&lt;select one&gt;","Identify Status",IF(Self_Sourced_Applicant="No",DS_SAIL_PU_Not_SS,"NA")))</f>
        <v/>
      </c>
      <c r="I29" s="660"/>
      <c r="J29" s="460"/>
      <c r="K29" s="42"/>
      <c r="N29" s="588">
        <v>0</v>
      </c>
      <c r="P29" s="14" t="str">
        <f t="shared" si="0"/>
        <v>Not Applicable to this RFA</v>
      </c>
    </row>
    <row r="30" spans="1:18" ht="14.4" hidden="1" customHeight="1">
      <c r="A30" s="4"/>
      <c r="B30" s="4"/>
      <c r="C30" s="175"/>
      <c r="D30" s="502"/>
      <c r="E30" s="515" t="str">
        <f>"Percentage of Total Development Costs ("&amp;TEXT(IF(AND(SUM('Units, Set-Asides, Bldgs'!G38:G39)&lt;5%,IF(Total_Units=0,0,SUMIF('Units, Set-Asides, Bldgs'!I21:I29,"&lt;="&amp;IFERROR(VLOOKUP(County,DS_CountyData,15),0),'Units, Set-Asides, Bldgs'!G21:G29)/Total_Units)&lt;5%),DS_SAIL_Percent_TDC_1,DS_SAIL_Percent_TDC_2),"0%")&amp;")"</f>
        <v>Percentage of Total Development Costs (25%)</v>
      </c>
      <c r="F30" s="489"/>
      <c r="G30" s="489"/>
      <c r="H30" s="510" t="str">
        <f>IF(N30=0,"",ROUNDDOWN(LEFT(RIGHT(E30,4),3)*N(TDC_total),0))</f>
        <v/>
      </c>
      <c r="I30" s="660"/>
      <c r="J30" s="497"/>
      <c r="K30" s="42"/>
      <c r="N30" s="588">
        <v>0</v>
      </c>
      <c r="P30" s="14" t="str">
        <f>IF(N30="","",IF(N30=0,"Not ","")&amp;"Applicable to this RFA")</f>
        <v>Not Applicable to this RFA</v>
      </c>
    </row>
    <row r="31" spans="1:18" ht="10.35" customHeight="1">
      <c r="A31" s="4"/>
      <c r="B31" s="4"/>
      <c r="C31" s="175"/>
      <c r="D31" s="461"/>
      <c r="E31" s="491"/>
      <c r="F31" s="489"/>
      <c r="G31" s="489"/>
      <c r="H31" s="490"/>
      <c r="I31" s="661"/>
      <c r="J31" s="460"/>
      <c r="O31" s="57"/>
    </row>
    <row r="32" spans="1:18" ht="30" customHeight="1">
      <c r="A32" s="4"/>
      <c r="B32" s="4"/>
      <c r="C32" s="175"/>
      <c r="D32" s="461"/>
      <c r="E32" s="2030" t="s">
        <v>1353</v>
      </c>
      <c r="F32" s="2030"/>
      <c r="G32" s="2030"/>
      <c r="H32" s="1228">
        <f>MIN(IF(AND(IFERROR(VLOOKUP(County,DS_County_Sizes,8,FALSE),"")="Large",N20=1,N(H20)&gt;0),H20,IF(AND(OR(IFERROR(VLOOKUP(County,DS_County_Sizes,8,FALSE),"")="Small",IFERROR(VLOOKUP(County,DS_County_Sizes,8,FALSE),"")="Medium"),N21=1,N(H21)&gt;0),H21,IF(AND(OR(Development_Category="Preservation",Development_Category="Acquisition and Preservation",Development_Category="Rehabilitation",Development_Category="Acquisition and Rehabilitation"),N23=1,N(H23)),H23,IF(N24=1,H24,0)))),IF(N25=1,H25,10000000),IF(N(Total_Units)=0,10000000,Total_Units)*IF(AND(N26=1,N(H26)&gt;0),H26,IF(AND(N27=1,N(H27)&gt;0),H27,IF(AND(N28=1,N(H28)&gt;0,Self_Sourced_Applicant="Yes"),H28,IF(AND(N29=1,N(H29)&gt;0,Self_Sourced_Applicant="No"),H29,10000000)))),IF(N30=0,10000000,N(H30)))</f>
        <v>0</v>
      </c>
      <c r="I32" s="1227" t="s">
        <v>1711</v>
      </c>
      <c r="J32" s="460"/>
      <c r="O32" s="57"/>
    </row>
    <row r="33" spans="1:15" ht="10.35" customHeight="1">
      <c r="A33" s="4"/>
      <c r="B33" s="4"/>
      <c r="C33" s="175"/>
      <c r="D33" s="461"/>
      <c r="E33" s="461"/>
      <c r="F33" s="461"/>
      <c r="G33" s="461"/>
      <c r="H33" s="461"/>
      <c r="I33" s="661"/>
      <c r="J33" s="460"/>
      <c r="O33" s="57"/>
    </row>
    <row r="34" spans="1:15" ht="17.399999999999999" customHeight="1">
      <c r="A34" s="4"/>
      <c r="B34" s="4"/>
      <c r="C34" s="554" t="str">
        <f>IF($K34=0,"(-)","(a)")</f>
        <v>(a)</v>
      </c>
      <c r="D34" s="2032" t="s">
        <v>2147</v>
      </c>
      <c r="E34" s="2032"/>
      <c r="F34" s="2032"/>
      <c r="G34" s="2032"/>
      <c r="H34" s="2032"/>
      <c r="I34" s="1441">
        <f>ARP_Request_Amount</f>
        <v>0</v>
      </c>
      <c r="J34" s="460"/>
      <c r="K34" s="588">
        <v>1</v>
      </c>
      <c r="L34" s="564">
        <f>IF(AND(K34&lt;&gt;0,I34&lt;&gt;""),K34,0)</f>
        <v>1</v>
      </c>
      <c r="M34" s="566" t="str">
        <f>CHOOSE(K34+1,"Not to be included in this RFA","A REQUIRED input field for this RFA","An OPTIONAL input field for this RFA")</f>
        <v>A REQUIRED input field for this RFA</v>
      </c>
      <c r="O34" s="57"/>
    </row>
    <row r="35" spans="1:15" ht="10.35" customHeight="1">
      <c r="A35" s="4"/>
      <c r="B35" s="4"/>
      <c r="C35" s="175"/>
      <c r="D35" s="6"/>
      <c r="E35" s="6"/>
      <c r="F35" s="195"/>
      <c r="G35" s="6"/>
      <c r="H35" s="6"/>
      <c r="I35" s="4"/>
      <c r="J35" s="407"/>
      <c r="O35" s="57"/>
    </row>
    <row r="36" spans="1:15" ht="17.399999999999999" hidden="1" customHeight="1">
      <c r="A36" s="4"/>
      <c r="B36" s="4"/>
      <c r="C36" s="175"/>
      <c r="D36" s="2033" t="s">
        <v>984</v>
      </c>
      <c r="E36" s="2033"/>
      <c r="F36" s="2033"/>
      <c r="G36" s="2033"/>
      <c r="H36" s="2033"/>
      <c r="I36" s="4"/>
      <c r="J36" s="460"/>
      <c r="O36" s="57"/>
    </row>
    <row r="37" spans="1:15" ht="17.399999999999999" hidden="1" customHeight="1">
      <c r="A37" s="4"/>
      <c r="B37" s="4"/>
      <c r="C37" s="175"/>
      <c r="D37" s="461"/>
      <c r="E37" s="483" t="s">
        <v>938</v>
      </c>
      <c r="F37" s="483"/>
      <c r="G37" s="483"/>
      <c r="H37" s="476">
        <f>DS_ELI_PD</f>
        <v>600000</v>
      </c>
      <c r="I37" s="4"/>
      <c r="J37" s="460"/>
      <c r="O37" s="57"/>
    </row>
    <row r="38" spans="1:15" ht="17.399999999999999" hidden="1" customHeight="1">
      <c r="A38" s="4"/>
      <c r="B38" s="4"/>
      <c r="C38" s="175"/>
      <c r="D38" s="502"/>
      <c r="E38" s="484" t="s">
        <v>1048</v>
      </c>
      <c r="F38" s="484"/>
      <c r="G38" s="484"/>
      <c r="H38" s="485">
        <f>'Units, Set-Asides, Bldgs'!K122</f>
        <v>0</v>
      </c>
      <c r="I38" s="4"/>
      <c r="J38" s="497"/>
      <c r="O38" s="57"/>
    </row>
    <row r="39" spans="1:15" ht="10.35" hidden="1" customHeight="1">
      <c r="A39" s="4"/>
      <c r="B39" s="4"/>
      <c r="C39" s="175"/>
      <c r="D39" s="461"/>
      <c r="E39" s="461"/>
      <c r="F39" s="461"/>
      <c r="G39" s="461"/>
      <c r="H39" s="461"/>
      <c r="I39" s="4"/>
      <c r="J39" s="460"/>
      <c r="O39" s="57"/>
    </row>
    <row r="40" spans="1:15" ht="30" hidden="1" customHeight="1">
      <c r="A40" s="4"/>
      <c r="B40" s="4"/>
      <c r="C40" s="175"/>
      <c r="D40" s="461"/>
      <c r="E40" s="2030" t="s">
        <v>1353</v>
      </c>
      <c r="F40" s="2030"/>
      <c r="G40" s="2030"/>
      <c r="H40" s="1228">
        <f>MIN(H37,H38)</f>
        <v>0</v>
      </c>
      <c r="I40" s="1227" t="s">
        <v>1712</v>
      </c>
      <c r="J40" s="460"/>
      <c r="O40" s="57"/>
    </row>
    <row r="41" spans="1:15" ht="10.35" hidden="1" customHeight="1">
      <c r="A41" s="4"/>
      <c r="B41" s="4"/>
      <c r="C41" s="175"/>
      <c r="D41" s="461"/>
      <c r="E41" s="461"/>
      <c r="F41" s="461"/>
      <c r="G41" s="461"/>
      <c r="H41" s="461"/>
      <c r="I41" s="4"/>
      <c r="J41" s="460"/>
      <c r="O41" s="57"/>
    </row>
    <row r="42" spans="1:15" ht="17.399999999999999" hidden="1" customHeight="1">
      <c r="A42" s="4"/>
      <c r="B42" s="4"/>
      <c r="C42" s="554" t="str">
        <f>IF(AND($K34=0,$K42=1),"(a)",IF(AND($K34=1,$K42=1),"(b)","(-)"))</f>
        <v>(-)</v>
      </c>
      <c r="D42" s="2036" t="s">
        <v>969</v>
      </c>
      <c r="E42" s="2036"/>
      <c r="F42" s="2036"/>
      <c r="G42" s="2036"/>
      <c r="H42" s="2036"/>
      <c r="I42" s="1618"/>
      <c r="J42" s="407"/>
      <c r="K42" s="588">
        <v>0</v>
      </c>
      <c r="L42" s="564">
        <f>IF(AND(K42&lt;&gt;0,I42&lt;&gt;""),K42,0)</f>
        <v>0</v>
      </c>
      <c r="M42" s="566" t="str">
        <f>CHOOSE(K42+1,"Not to be included in this RFA","A REQUIRED input field for this RFA","An OPTIONAL input field for this RFA")</f>
        <v>Not to be included in this RFA</v>
      </c>
      <c r="O42" s="57"/>
    </row>
    <row r="43" spans="1:15" ht="10.35" hidden="1" customHeight="1">
      <c r="A43" s="4"/>
      <c r="B43" s="4"/>
      <c r="C43" s="4"/>
      <c r="D43" s="4"/>
      <c r="E43" s="4"/>
      <c r="F43" s="4"/>
      <c r="G43" s="4"/>
      <c r="H43" s="4"/>
      <c r="I43" s="4"/>
      <c r="J43" s="407"/>
      <c r="O43" s="57"/>
    </row>
    <row r="44" spans="1:15" ht="14.4" hidden="1" customHeight="1">
      <c r="A44" s="4"/>
      <c r="B44" s="180" t="str">
        <f>IF($K$59=0,"",MAX(B$4:B43)+1)</f>
        <v/>
      </c>
      <c r="C44" s="4" t="str">
        <f>Data3!A98</f>
        <v>HOME</v>
      </c>
      <c r="D44" s="4"/>
      <c r="E44" s="4"/>
      <c r="F44" s="4"/>
      <c r="G44" s="4"/>
      <c r="H44" s="4"/>
      <c r="I44" s="4"/>
      <c r="J44" s="407"/>
      <c r="O44" s="57"/>
    </row>
    <row r="45" spans="1:15" ht="10.35" hidden="1" customHeight="1">
      <c r="A45" s="4"/>
      <c r="B45" s="4"/>
      <c r="C45" s="4"/>
      <c r="D45" s="4"/>
      <c r="E45" s="4"/>
      <c r="F45" s="4"/>
      <c r="G45" s="4"/>
      <c r="H45" s="4"/>
      <c r="I45" s="4"/>
      <c r="J45" s="407"/>
      <c r="O45" s="57"/>
    </row>
    <row r="46" spans="1:15" ht="14.4" hidden="1" customHeight="1">
      <c r="A46" s="4"/>
      <c r="B46" s="4"/>
      <c r="C46" s="4"/>
      <c r="D46" s="4"/>
      <c r="E46" s="2031" t="str">
        <f>"Maximum "&amp;C44&amp;" Request Amount Per Development:"</f>
        <v>Maximum HOME Request Amount Per Development:</v>
      </c>
      <c r="F46" s="2031"/>
      <c r="G46" s="2031"/>
      <c r="H46" s="475">
        <f>DS_HOME_PD</f>
        <v>6000000</v>
      </c>
      <c r="I46" s="4"/>
      <c r="J46" s="460"/>
      <c r="O46" s="57"/>
    </row>
    <row r="47" spans="1:15" ht="10.35" hidden="1" customHeight="1">
      <c r="A47" s="4"/>
      <c r="B47" s="4"/>
      <c r="C47" s="4"/>
      <c r="D47" s="4"/>
      <c r="E47" s="4"/>
      <c r="F47" s="4"/>
      <c r="G47" s="4"/>
      <c r="H47" s="4"/>
      <c r="I47" s="4"/>
      <c r="J47" s="407"/>
      <c r="O47" s="57"/>
    </row>
    <row r="48" spans="1:15" ht="45" hidden="1" customHeight="1">
      <c r="A48" s="4"/>
      <c r="B48" s="4"/>
      <c r="C48" s="4"/>
      <c r="D48" s="4"/>
      <c r="E48" s="98" t="s">
        <v>583</v>
      </c>
      <c r="F48" s="98" t="str">
        <f>"# of "&amp;C44&amp;" Set-Aside Units"</f>
        <v># of HOME Set-Aside Units</v>
      </c>
      <c r="G48" s="98" t="str">
        <f>"Maximum "&amp;C44&amp;" Subsidy Per "&amp;C44&amp;" Set-Aside Unit"</f>
        <v>Maximum HOME Subsidy Per HOME Set-Aside Unit</v>
      </c>
      <c r="H48" s="98" t="str">
        <f>C44&amp;" Subsidy Allowed"</f>
        <v>HOME Subsidy Allowed</v>
      </c>
      <c r="I48" s="2040" t="str">
        <f>IF(C44&lt;&gt;"HOME","",IF(OR(HOME_Request_Amount=0,N(TDC_total)=0),"","Based in a HOME Loan Request Amount of "&amp;TEXT(HOME_Request_Amount,"$#,##0")&amp;" and Total Development Costs of "&amp;TEXT(TDC_total,"$#,##0")&amp;", HOME funding covers "&amp;TEXT(ROUNDUP(HOME_Request_Amount/TDC_total,2),"0%")&amp;" of the costs which requires a minimum number of HOME-Assisted Units of "&amp;TEXT(ROUNDUP(ROUNDUP(HOME_Request_Amount/TDC_total,2)*Total_Units,0),"0")&amp;" units out of the total "&amp;TEXT(Total_Units,"0")&amp;" units."))</f>
        <v/>
      </c>
      <c r="J48" s="2028" t="str">
        <f>IF(C44&lt;&gt;"HOME","",IF(OR(HOME_Request_Amount=0,N(TDC_total)=0),"","The "&amp;TEXT(SUM(F49:F53),"0")&amp;" HOME Set-Aside Units entered "&amp;IF(SUM(F49:F53)&lt;ROUNDUP(ROUNDUP(HOME_Request_Amount/TDC_total,2)*Total_Units,0),"does NOT meet","meets")&amp;" the "&amp;TEXT(ROUNDUP(ROUNDUP(HOME_Request_Amount/TDC_total,2)*Total_Units,0),"0")&amp;" minimum HOME Assisted Units required by HUD."))</f>
        <v/>
      </c>
      <c r="O48" s="57"/>
    </row>
    <row r="49" spans="1:15" ht="17.399999999999999" hidden="1" customHeight="1">
      <c r="A49" s="4"/>
      <c r="B49" s="4"/>
      <c r="C49" s="4"/>
      <c r="D49" s="4"/>
      <c r="E49" s="198">
        <v>0</v>
      </c>
      <c r="F49" s="1349"/>
      <c r="G49" s="199" cm="1">
        <f t="array" ref="G49">DS_HOME_PU_0Bd</f>
        <v>137983</v>
      </c>
      <c r="H49" s="203">
        <f>N(F49)*N(G49)</f>
        <v>0</v>
      </c>
      <c r="I49" s="2040"/>
      <c r="J49" s="2029"/>
      <c r="K49" s="383">
        <f>IF($N49=0,0,IF($N49=2,2,IF(AND(Total_Units&gt;0,SUM($F$49:$F$53)=Total_Units),2,1)))</f>
        <v>0</v>
      </c>
      <c r="L49" s="564">
        <f>IF(AND(K49&lt;&gt;0,F49&lt;&gt;""),K49,0)</f>
        <v>0</v>
      </c>
      <c r="M49" s="566" t="str">
        <f>CHOOSE(K49+1,"Not to be included in this RFA","A REQUIRED input field for this RFA","An OPTIONAL input field for this RFA")</f>
        <v>Not to be included in this RFA</v>
      </c>
      <c r="N49" s="662">
        <v>0</v>
      </c>
      <c r="O49" s="57"/>
    </row>
    <row r="50" spans="1:15" ht="17.399999999999999" hidden="1" customHeight="1">
      <c r="A50" s="4"/>
      <c r="B50" s="4"/>
      <c r="C50" s="4"/>
      <c r="D50" s="4"/>
      <c r="E50" s="200">
        <v>1</v>
      </c>
      <c r="F50" s="1350"/>
      <c r="G50" s="201">
        <f>DS_HOME_PU_1Bd</f>
        <v>158177</v>
      </c>
      <c r="H50" s="204">
        <f>N(F50)*N(G50)</f>
        <v>0</v>
      </c>
      <c r="I50" s="2040"/>
      <c r="J50" s="2029"/>
      <c r="K50" s="383">
        <f>IF($N50=0,0,IF($N50=2,2,IF(AND(Total_Units&gt;0,SUM($F$49:$F$53)=Total_Units),2,1)))</f>
        <v>0</v>
      </c>
      <c r="L50" s="564">
        <f>IF(AND(K50&lt;&gt;0,F50&lt;&gt;""),K50,0)</f>
        <v>0</v>
      </c>
      <c r="M50" s="566" t="str">
        <f>CHOOSE(K50+1,"Not to be included in this RFA","A REQUIRED input field for this RFA","An OPTIONAL input field for this RFA")</f>
        <v>Not to be included in this RFA</v>
      </c>
      <c r="N50" s="662">
        <v>0</v>
      </c>
      <c r="O50" s="57"/>
    </row>
    <row r="51" spans="1:15" ht="17.399999999999999" hidden="1" customHeight="1">
      <c r="A51" s="4"/>
      <c r="B51" s="4"/>
      <c r="C51" s="4"/>
      <c r="D51" s="4"/>
      <c r="E51" s="200">
        <v>2</v>
      </c>
      <c r="F51" s="1350"/>
      <c r="G51" s="201">
        <f>DS_HOME_PU_2Bd</f>
        <v>192346</v>
      </c>
      <c r="H51" s="204">
        <f>N(F51)*N(G51)</f>
        <v>0</v>
      </c>
      <c r="I51" s="2040"/>
      <c r="J51" s="2029"/>
      <c r="K51" s="383">
        <f>IF($N51=0,0,IF($N51=2,2,IF(AND(Total_Units&gt;0,SUM($F$49:$F$53)=Total_Units),2,1)))</f>
        <v>0</v>
      </c>
      <c r="L51" s="564">
        <f>IF(AND(K51&lt;&gt;0,F51&lt;&gt;""),K51,0)</f>
        <v>0</v>
      </c>
      <c r="M51" s="566" t="str">
        <f>CHOOSE(K51+1,"Not to be included in this RFA","A REQUIRED input field for this RFA","An OPTIONAL input field for this RFA")</f>
        <v>Not to be included in this RFA</v>
      </c>
      <c r="N51" s="662">
        <v>0</v>
      </c>
      <c r="O51" s="57"/>
    </row>
    <row r="52" spans="1:15" ht="17.399999999999999" hidden="1" customHeight="1">
      <c r="A52" s="4"/>
      <c r="B52" s="4"/>
      <c r="C52" s="4"/>
      <c r="D52" s="4"/>
      <c r="E52" s="202">
        <v>3</v>
      </c>
      <c r="F52" s="1350"/>
      <c r="G52" s="201">
        <f>DS_HOME_PU_3Bd</f>
        <v>248834</v>
      </c>
      <c r="H52" s="204">
        <f>N(F52)*N(G52)</f>
        <v>0</v>
      </c>
      <c r="I52" s="2040"/>
      <c r="J52" s="2029"/>
      <c r="K52" s="383">
        <f>IF($N52=0,0,IF($N52=2,2,IF(AND(Total_Units&gt;0,SUM($F$49:$F$53)=Total_Units),2,1)))</f>
        <v>0</v>
      </c>
      <c r="L52" s="564">
        <f>IF(AND(K52&lt;&gt;0,F52&lt;&gt;""),K52,0)</f>
        <v>0</v>
      </c>
      <c r="M52" s="566" t="str">
        <f>CHOOSE(K52+1,"Not to be included in this RFA","A REQUIRED input field for this RFA","An OPTIONAL input field for this RFA")</f>
        <v>Not to be included in this RFA</v>
      </c>
      <c r="N52" s="662">
        <v>0</v>
      </c>
      <c r="O52" s="57"/>
    </row>
    <row r="53" spans="1:15" ht="17.399999999999999" hidden="1" customHeight="1" thickBot="1">
      <c r="A53" s="4"/>
      <c r="B53" s="4"/>
      <c r="C53" s="4"/>
      <c r="D53" s="4"/>
      <c r="E53" s="1056">
        <v>4</v>
      </c>
      <c r="F53" s="1351"/>
      <c r="G53" s="1057">
        <f>DS_HOME_PU_4Bd</f>
        <v>273141</v>
      </c>
      <c r="H53" s="1058">
        <f>N(F53)*N(G53)</f>
        <v>0</v>
      </c>
      <c r="I53" s="2040"/>
      <c r="J53" s="2029"/>
      <c r="K53" s="383">
        <f>IF($N53=0,0,IF($N53=2,2,IF(AND(Total_Units&gt;0,SUM($F$49:$F$53)=Total_Units),2,1)))</f>
        <v>0</v>
      </c>
      <c r="L53" s="564">
        <f>IF(AND(K53&lt;&gt;0,F53&lt;&gt;""),K53,0)</f>
        <v>0</v>
      </c>
      <c r="M53" s="566" t="str">
        <f>CHOOSE(K53+1,"Not to be included in this RFA","A REQUIRED input field for this RFA","An OPTIONAL input field for this RFA")</f>
        <v>Not to be included in this RFA</v>
      </c>
      <c r="N53" s="662">
        <v>0</v>
      </c>
      <c r="O53" s="57"/>
    </row>
    <row r="54" spans="1:15" ht="17.399999999999999" hidden="1" customHeight="1">
      <c r="A54" s="4"/>
      <c r="B54" s="4"/>
      <c r="C54" s="4"/>
      <c r="D54" s="4"/>
      <c r="G54" s="1055" t="str">
        <f>"Total "&amp;C44&amp;"-Assisted Units"</f>
        <v>Total HOME-Assisted Units</v>
      </c>
      <c r="H54" s="1352">
        <f>SUM(F49:F53)</f>
        <v>0</v>
      </c>
      <c r="I54" s="2040"/>
      <c r="J54" s="2029"/>
      <c r="K54" s="1026"/>
      <c r="L54" s="1025"/>
      <c r="M54" s="1027"/>
      <c r="O54" s="57"/>
    </row>
    <row r="55" spans="1:15" ht="17.399999999999999" hidden="1" customHeight="1">
      <c r="A55" s="4"/>
      <c r="B55" s="4"/>
      <c r="C55" s="4"/>
      <c r="D55" s="4"/>
      <c r="E55" s="4"/>
      <c r="F55" s="4"/>
      <c r="G55" s="197" t="str">
        <f>"Total Maximum "&amp;C44&amp;" Subsidy Allowed"</f>
        <v>Total Maximum HOME Subsidy Allowed</v>
      </c>
      <c r="H55" s="205">
        <f>SUM(H49:H53)</f>
        <v>0</v>
      </c>
      <c r="I55" s="2040"/>
      <c r="J55" s="2029"/>
      <c r="O55" s="57"/>
    </row>
    <row r="56" spans="1:15" ht="10.35" hidden="1" customHeight="1">
      <c r="A56" s="4"/>
      <c r="B56" s="4"/>
      <c r="C56" s="4"/>
      <c r="D56" s="4"/>
      <c r="E56" s="4"/>
      <c r="F56" s="4"/>
      <c r="G56" s="4"/>
      <c r="H56" s="4"/>
      <c r="I56" s="4"/>
      <c r="J56" s="407"/>
      <c r="O56" s="57"/>
    </row>
    <row r="57" spans="1:15" ht="30" hidden="1" customHeight="1">
      <c r="A57" s="4"/>
      <c r="B57" s="4"/>
      <c r="C57" s="4"/>
      <c r="D57" s="4"/>
      <c r="E57" s="2030" t="s">
        <v>1354</v>
      </c>
      <c r="F57" s="2030"/>
      <c r="G57" s="2030"/>
      <c r="H57" s="476">
        <f>MIN(H46,H55)</f>
        <v>0</v>
      </c>
      <c r="I57" s="1229" t="s">
        <v>1710</v>
      </c>
      <c r="J57" s="460"/>
      <c r="O57" s="57"/>
    </row>
    <row r="58" spans="1:15" ht="10.35" hidden="1" customHeight="1">
      <c r="A58" s="4"/>
      <c r="B58" s="4"/>
      <c r="C58" s="4"/>
      <c r="D58" s="4"/>
      <c r="E58" s="4"/>
      <c r="F58" s="4"/>
      <c r="G58" s="4"/>
      <c r="H58" s="4"/>
      <c r="I58" s="4"/>
      <c r="J58" s="460"/>
      <c r="O58" s="57"/>
    </row>
    <row r="59" spans="1:15" ht="17.399999999999999" hidden="1" customHeight="1">
      <c r="A59" s="4"/>
      <c r="B59" s="4"/>
      <c r="C59" s="175" t="s">
        <v>224</v>
      </c>
      <c r="D59" s="2032" t="str">
        <f>"Applicant's "&amp;C44&amp;" Request Amount:  "</f>
        <v xml:space="preserve">Applicant's HOME Request Amount:  </v>
      </c>
      <c r="E59" s="2032"/>
      <c r="F59" s="2032"/>
      <c r="G59" s="2032"/>
      <c r="H59" s="2032"/>
      <c r="I59" s="1618"/>
      <c r="J59" s="407"/>
      <c r="K59" s="588">
        <v>0</v>
      </c>
      <c r="L59" s="564">
        <f>IF(AND(K59&lt;&gt;0,I59&lt;&gt;""),K59,0)</f>
        <v>0</v>
      </c>
      <c r="M59" s="566" t="str">
        <f>CHOOSE(K59+1,"Not to be included in this RFA","A REQUIRED input field for this RFA","An OPTIONAL input field for this RFA")</f>
        <v>Not to be included in this RFA</v>
      </c>
      <c r="O59" s="57"/>
    </row>
    <row r="60" spans="1:15" ht="10.35" hidden="1" customHeight="1">
      <c r="A60" s="4"/>
      <c r="B60" s="4"/>
      <c r="C60" s="4"/>
      <c r="D60" s="4"/>
      <c r="E60" s="4"/>
      <c r="F60" s="4"/>
      <c r="G60" s="4"/>
      <c r="H60" s="4"/>
      <c r="I60" s="4"/>
      <c r="J60" s="407"/>
      <c r="O60" s="57"/>
    </row>
    <row r="61" spans="1:15" ht="14.4" customHeight="1">
      <c r="A61" s="4"/>
      <c r="B61" s="751">
        <f>IF($K$72=0,"",MAX(B$4:B60)+1)</f>
        <v>2</v>
      </c>
      <c r="C61" s="4" t="s">
        <v>1579</v>
      </c>
      <c r="D61" s="4"/>
      <c r="E61" s="4"/>
      <c r="F61" s="4"/>
      <c r="G61" s="4"/>
      <c r="H61" s="4"/>
      <c r="I61" s="4"/>
      <c r="J61" s="1131"/>
      <c r="O61" s="57"/>
    </row>
    <row r="62" spans="1:15" ht="10.35" customHeight="1">
      <c r="A62" s="4"/>
      <c r="B62" s="4"/>
      <c r="C62" s="4"/>
      <c r="D62" s="4"/>
      <c r="E62" s="4"/>
      <c r="F62" s="4"/>
      <c r="G62" s="4"/>
      <c r="H62" s="4"/>
      <c r="I62" s="4"/>
      <c r="J62" s="1131"/>
      <c r="O62" s="57"/>
    </row>
    <row r="63" spans="1:15" ht="14.4" customHeight="1">
      <c r="A63" s="4"/>
      <c r="B63" s="4"/>
      <c r="C63"/>
      <c r="D63" s="1161" t="s">
        <v>1641</v>
      </c>
      <c r="E63" s="621"/>
      <c r="F63" s="621"/>
      <c r="G63" s="621"/>
      <c r="H63" s="1168">
        <f>DS_ARP_PD</f>
        <v>2950000</v>
      </c>
      <c r="I63" s="2037" t="str" cm="1">
        <f t="array" aca="1" ref="I63" ca="1">IF(Data3!K104=Data3!K110,"(The Per Unit Request Limit is based on the primary Development Type identified in Section 4.A.4."&amp;'Proposed Development Info'!A67&amp;".'s Unit Characteristics table in the '"&amp;MID(CELL("filename",'Proposed Development Info'!A1),FIND("]",CELL("filename",'Proposed Development Info'!A1))+1,255)&amp;"' tab and the County identified in Section 4.A.5.a. in the '"&amp;MID(CELL("filename",'Development Location'!A1),FIND("]",CELL("filename",'Development Location'!A1))+1,255)&amp;"' tab.)",IF(OR(Data3!K104=Data3!K108,Data3!K104=Data3!K109),"(The Per Unit Request Limit is based on the County identified in Section 4.A.5.a. in the '"&amp;MID(CELL("filename",'Development Location'!A1),FIND("]",CELL("filename",'Development Location'!A1))+1,255)&amp;"' tab.)",""))</f>
        <v>(The Per Unit Request Limit is based on the primary Development Type identified in Section 4.A.4.d.'s Unit Characteristics table in the 'Proposed Development Info' tab and the County identified in Section 4.A.5.a. in the 'Development Location' tab.)</v>
      </c>
      <c r="J63" s="1131"/>
      <c r="O63" s="57"/>
    </row>
    <row r="64" spans="1:15" ht="14.4" customHeight="1">
      <c r="A64" s="4"/>
      <c r="B64" s="4"/>
      <c r="C64"/>
      <c r="D64" s="1161" t="s">
        <v>1992</v>
      </c>
      <c r="E64" s="621"/>
      <c r="F64" s="621"/>
      <c r="G64" s="621"/>
      <c r="H64" s="1168">
        <f>MAX(0,ROUND((N(TDC_total)-N(NHTF_Request_Amount))/2,0))</f>
        <v>0</v>
      </c>
      <c r="I64" s="2037"/>
      <c r="J64" s="1266"/>
      <c r="O64" s="57"/>
    </row>
    <row r="65" spans="1:18" ht="21" customHeight="1">
      <c r="A65" s="4"/>
      <c r="B65" s="4"/>
      <c r="C65"/>
      <c r="D65" s="1161"/>
      <c r="E65" s="621" t="str">
        <f>"**( "&amp;TEXT(N(TDC_total),"$#,##0")&amp;" TDC, less "&amp;TEXT(N(NHTF_Request_Amount),"$#,##0")&amp;" Eligible NHTF Request Amount ) / 2 = "&amp;TEXT(H64,"$#,##0")</f>
        <v>**( $0 TDC, less $0 Eligible NHTF Request Amount ) / 2 = $0</v>
      </c>
      <c r="F65" s="621"/>
      <c r="G65" s="621"/>
      <c r="H65" s="621"/>
      <c r="I65" s="2037"/>
      <c r="J65" s="1266"/>
      <c r="O65" s="57"/>
    </row>
    <row r="66" spans="1:18" ht="14.4" customHeight="1">
      <c r="A66" s="4"/>
      <c r="B66" s="4"/>
      <c r="C66"/>
      <c r="D66" s="1161" t="s">
        <v>1644</v>
      </c>
      <c r="E66" s="621"/>
      <c r="F66" s="621"/>
      <c r="G66" s="621"/>
      <c r="H66" s="1366" cm="1">
        <f t="array" ref="H66">DS_ARP_PU</f>
        <v>0</v>
      </c>
      <c r="I66" s="2037"/>
      <c r="J66" s="1131"/>
      <c r="M66" s="1363"/>
      <c r="N66" s="1364"/>
      <c r="O66" s="1365"/>
      <c r="P66" s="1364"/>
      <c r="Q66" s="1364"/>
      <c r="R66" s="1364"/>
    </row>
    <row r="67" spans="1:18" ht="14.4" customHeight="1">
      <c r="A67" s="4"/>
      <c r="B67" s="4"/>
      <c r="C67"/>
      <c r="D67" s="1161" t="s">
        <v>1642</v>
      </c>
      <c r="E67" s="621"/>
      <c r="F67" s="621"/>
      <c r="G67" s="621"/>
      <c r="H67" s="1169">
        <f>Total_Units</f>
        <v>0</v>
      </c>
      <c r="I67" s="2037"/>
      <c r="J67" s="1131"/>
      <c r="O67" s="57"/>
    </row>
    <row r="68" spans="1:18" ht="14.4" customHeight="1">
      <c r="A68" s="4"/>
      <c r="B68" s="4"/>
      <c r="C68"/>
      <c r="D68" s="1161" t="s">
        <v>1643</v>
      </c>
      <c r="E68" s="621"/>
      <c r="F68" s="621"/>
      <c r="G68" s="621"/>
      <c r="H68" s="1168">
        <f>H66*H67</f>
        <v>0</v>
      </c>
      <c r="I68" s="2037"/>
      <c r="J68" s="1131"/>
      <c r="O68" s="57"/>
    </row>
    <row r="69" spans="1:18" ht="10.35" customHeight="1">
      <c r="A69" s="4"/>
      <c r="B69" s="4"/>
      <c r="C69"/>
      <c r="D69" s="1131"/>
      <c r="E69" s="108"/>
      <c r="F69" s="108"/>
      <c r="G69" s="108"/>
      <c r="H69" s="4"/>
      <c r="I69" s="4"/>
      <c r="J69" s="1131"/>
      <c r="O69" s="57"/>
    </row>
    <row r="70" spans="1:18" ht="14.4" customHeight="1">
      <c r="A70" s="4"/>
      <c r="B70" s="4"/>
      <c r="C70"/>
      <c r="D70" s="1131"/>
      <c r="E70" s="2050" t="s">
        <v>1355</v>
      </c>
      <c r="F70" s="2050"/>
      <c r="G70" s="2050"/>
      <c r="H70" s="1168">
        <f>MIN(H63,H64,H68)</f>
        <v>0</v>
      </c>
      <c r="I70" s="1225" t="s">
        <v>1709</v>
      </c>
      <c r="J70" s="1131"/>
      <c r="O70" s="57"/>
    </row>
    <row r="71" spans="1:18" ht="10.35" customHeight="1">
      <c r="A71" s="4"/>
      <c r="B71" s="4"/>
      <c r="C71"/>
      <c r="D71"/>
      <c r="E71"/>
      <c r="F71"/>
      <c r="G71"/>
      <c r="H71" s="4"/>
      <c r="I71" s="4"/>
      <c r="J71" s="1131"/>
      <c r="O71" s="57"/>
    </row>
    <row r="72" spans="1:18" ht="17.399999999999999" customHeight="1">
      <c r="A72" s="4"/>
      <c r="B72" s="4"/>
      <c r="C72" s="1167" t="s">
        <v>224</v>
      </c>
      <c r="D72" s="2051" t="s">
        <v>1640</v>
      </c>
      <c r="E72" s="2051"/>
      <c r="F72" s="2051"/>
      <c r="G72" s="2051"/>
      <c r="H72" s="2051"/>
      <c r="I72" s="1618"/>
      <c r="J72" s="1131"/>
      <c r="K72" s="397">
        <v>1</v>
      </c>
      <c r="L72" s="627">
        <f>IF(AND(K72&lt;&gt;0,I72&lt;&gt;""),K72,0)</f>
        <v>0</v>
      </c>
      <c r="M72" s="1131" t="str">
        <f>CHOOSE(K72+1,"Not to be included in this RFA","A REQUIRED input field for this RFA","An OPTIONAL input field for this RFA")</f>
        <v>A REQUIRED input field for this RFA</v>
      </c>
      <c r="O72" s="57"/>
    </row>
    <row r="73" spans="1:18" ht="10.35" customHeight="1">
      <c r="A73" s="4"/>
      <c r="B73" s="4"/>
      <c r="C73" s="4"/>
      <c r="D73" s="4"/>
      <c r="E73" s="4"/>
      <c r="F73" s="4"/>
      <c r="G73" s="4"/>
      <c r="H73" s="4"/>
      <c r="I73" s="4"/>
      <c r="J73" s="1131"/>
      <c r="O73" s="57"/>
    </row>
    <row r="74" spans="1:18" ht="14.4" hidden="1" customHeight="1">
      <c r="A74" s="4"/>
      <c r="B74" s="180" t="str">
        <f>IF($K$78=0,"",MAX(B$4:B73)+1)</f>
        <v/>
      </c>
      <c r="C74" s="4" t="s">
        <v>564</v>
      </c>
      <c r="D74" s="4"/>
      <c r="E74" s="4"/>
      <c r="F74" s="4"/>
      <c r="G74" s="4"/>
      <c r="H74" s="4"/>
      <c r="I74" s="4"/>
      <c r="J74" s="407"/>
      <c r="O74" s="57"/>
    </row>
    <row r="75" spans="1:18" ht="10.35" hidden="1" customHeight="1">
      <c r="A75" s="4"/>
      <c r="B75" s="4"/>
      <c r="C75" s="4"/>
      <c r="D75" s="4"/>
      <c r="E75" s="4"/>
      <c r="F75" s="4"/>
      <c r="G75" s="4"/>
      <c r="H75" s="4"/>
      <c r="I75" s="4"/>
      <c r="J75" s="407"/>
      <c r="O75" s="57"/>
    </row>
    <row r="76" spans="1:18" ht="17.399999999999999" hidden="1" customHeight="1">
      <c r="A76" s="4"/>
      <c r="B76" s="4"/>
      <c r="D76" s="2036" t="s">
        <v>967</v>
      </c>
      <c r="E76" s="2036"/>
      <c r="F76" s="2036"/>
      <c r="G76" s="2036"/>
      <c r="H76" s="476">
        <f>DS_Grant_PD</f>
        <v>4600000</v>
      </c>
      <c r="I76" s="1225" t="s">
        <v>1709</v>
      </c>
      <c r="J76" s="407"/>
      <c r="O76" s="57"/>
    </row>
    <row r="77" spans="1:18" ht="10.35" hidden="1" customHeight="1">
      <c r="A77" s="4"/>
      <c r="B77" s="4"/>
      <c r="C77" s="175"/>
      <c r="D77" s="461"/>
      <c r="E77" s="461"/>
      <c r="F77" s="461"/>
      <c r="G77" s="461"/>
      <c r="H77" s="461"/>
      <c r="J77" s="460"/>
      <c r="O77" s="57"/>
    </row>
    <row r="78" spans="1:18" ht="17.399999999999999" hidden="1" customHeight="1">
      <c r="A78" s="4"/>
      <c r="B78" s="4"/>
      <c r="C78" s="175" t="s">
        <v>224</v>
      </c>
      <c r="D78" s="2032" t="s">
        <v>968</v>
      </c>
      <c r="E78" s="2032"/>
      <c r="F78" s="2032"/>
      <c r="G78" s="2032"/>
      <c r="H78" s="2032"/>
      <c r="I78" s="1618"/>
      <c r="J78" s="460"/>
      <c r="K78" s="588">
        <v>0</v>
      </c>
      <c r="L78" s="564">
        <f>IF(AND(K78&lt;&gt;0,I78&lt;&gt;""),K78,0)</f>
        <v>0</v>
      </c>
      <c r="M78" s="566" t="str">
        <f>CHOOSE(K78+1,"Not to be included in this RFA","A REQUIRED input field for this RFA","An OPTIONAL input field for this RFA")</f>
        <v>Not to be included in this RFA</v>
      </c>
      <c r="O78" s="57"/>
    </row>
    <row r="79" spans="1:18" ht="10.35" hidden="1" customHeight="1">
      <c r="A79" s="4"/>
      <c r="B79" s="4"/>
      <c r="C79" s="4"/>
      <c r="D79" s="16"/>
      <c r="E79" s="4"/>
      <c r="F79" s="4"/>
      <c r="G79" s="4"/>
      <c r="H79" s="4"/>
      <c r="I79" s="4"/>
      <c r="J79" s="407"/>
      <c r="O79" s="57"/>
    </row>
    <row r="80" spans="1:18" ht="17.399999999999999" hidden="1" customHeight="1">
      <c r="A80" s="4"/>
      <c r="B80" s="180" t="str">
        <f>IF($K80=0,"",MAX(B$4:B79)+1)</f>
        <v/>
      </c>
      <c r="C80" s="6" t="s">
        <v>1451</v>
      </c>
      <c r="D80" s="4"/>
      <c r="E80" s="59"/>
      <c r="F80" s="59"/>
      <c r="G80" s="4"/>
      <c r="H80" s="4"/>
      <c r="I80" s="1619" t="s">
        <v>195</v>
      </c>
      <c r="J80" s="407"/>
      <c r="K80" s="588">
        <v>0</v>
      </c>
      <c r="L80" s="462">
        <f>IF(AND(K80&lt;&gt;0,AND(I80&lt;&gt;"&lt;select from menu&gt;",I80&lt;&gt;"")),K80,0)</f>
        <v>0</v>
      </c>
      <c r="M80" s="463" t="str">
        <f>CHOOSE(K80+1,"Not to be included in this RFA","A REQUIRED input field for this RFA","An OPTIONAL input field for this RFA")</f>
        <v>Not to be included in this RFA</v>
      </c>
    </row>
    <row r="81" spans="1:23" ht="10.35" hidden="1" customHeight="1">
      <c r="A81" s="4"/>
      <c r="B81" s="558"/>
      <c r="C81" s="4"/>
      <c r="D81" s="4"/>
      <c r="E81" s="59"/>
      <c r="F81" s="59"/>
      <c r="G81" s="4"/>
      <c r="H81" s="4"/>
      <c r="I81" s="4"/>
      <c r="J81" s="407"/>
    </row>
    <row r="82" spans="1:23" ht="30" hidden="1" customHeight="1">
      <c r="A82" s="4"/>
      <c r="B82" s="558"/>
      <c r="C82" s="1848" t="s">
        <v>563</v>
      </c>
      <c r="D82" s="1848"/>
      <c r="E82" s="1848"/>
      <c r="F82" s="1848"/>
      <c r="G82" s="1848"/>
      <c r="H82" s="1848"/>
      <c r="I82" s="1848"/>
      <c r="J82" s="407"/>
    </row>
    <row r="83" spans="1:23" ht="10.35" hidden="1" customHeight="1">
      <c r="A83" s="4"/>
      <c r="B83" s="558"/>
      <c r="C83" s="4"/>
      <c r="D83" s="4"/>
      <c r="E83" s="59"/>
      <c r="F83" s="59"/>
      <c r="G83" s="4"/>
      <c r="H83" s="4"/>
      <c r="I83" s="4"/>
      <c r="J83" s="407"/>
    </row>
    <row r="84" spans="1:23" ht="14.4" customHeight="1">
      <c r="A84" s="4"/>
      <c r="B84" s="180">
        <f>IF($K$93=0,"",MAX(B$4:B83)+1)</f>
        <v>3</v>
      </c>
      <c r="C84" s="963" t="s">
        <v>1630</v>
      </c>
      <c r="D84" s="963"/>
      <c r="E84" s="963"/>
      <c r="F84"/>
      <c r="G84" s="4"/>
      <c r="H84" s="4"/>
      <c r="I84" s="4"/>
      <c r="J84" s="1131"/>
      <c r="O84" s="57"/>
    </row>
    <row r="85" spans="1:23" ht="10.35" customHeight="1">
      <c r="A85" s="4"/>
      <c r="B85" s="4"/>
      <c r="C85" s="4"/>
      <c r="D85" s="4"/>
      <c r="E85" s="4"/>
      <c r="F85" s="4"/>
      <c r="G85" s="4"/>
      <c r="H85" s="4"/>
      <c r="I85" s="2038" t="str" cm="1">
        <f t="array" aca="1" ref="I85" ca="1">IF(Data3!K104=Data3!K110,"(The Per Unit Request Limit is based on the primary Development Type identified in Section 4.A.4."&amp;'Proposed Development Info'!A67&amp;".'s Unit Characteristics table in the '"&amp;MID(CELL("filename",'Proposed Development Info'!A1),FIND("]",CELL("filename",'Proposed Development Info'!A1))+1,255)&amp;"' tab and the County identified in Section 4.A.5.a. in the '"&amp;MID(CELL("filename",'Development Location'!A1),FIND("]",CELL("filename",'Development Location'!A1))+1,255)&amp;"' tab.)",IF(OR(Data3!K104=Data3!K108,Data3!K104=Data3!K109),"(The Per Unit Request Limit is based on the County identified in Section 4.A.5.a. in the '"&amp;MID(CELL("filename",'Development Location'!A1),FIND("]",CELL("filename",'Development Location'!A1))+1,255)&amp;"' tab.)",""))</f>
        <v>(The Per Unit Request Limit is based on the primary Development Type identified in Section 4.A.4.d.'s Unit Characteristics table in the 'Proposed Development Info' tab and the County identified in Section 4.A.5.a. in the 'Development Location' tab.)</v>
      </c>
      <c r="J85" s="1131"/>
      <c r="O85" s="57"/>
    </row>
    <row r="86" spans="1:23" ht="14.4" customHeight="1">
      <c r="A86" s="4"/>
      <c r="B86" s="4"/>
      <c r="C86" s="4"/>
      <c r="D86" s="1135" t="s">
        <v>1632</v>
      </c>
      <c r="E86" s="483"/>
      <c r="F86" s="483"/>
      <c r="G86" s="483"/>
      <c r="H86" s="573">
        <f>DS_NHTF_PD</f>
        <v>2500000</v>
      </c>
      <c r="I86" s="2038"/>
      <c r="J86" s="1131"/>
      <c r="N86" s="397">
        <v>1</v>
      </c>
      <c r="O86"/>
      <c r="P86" s="108" t="str">
        <f>IF(N86="","",IF(N86=0,"Not ","")&amp;"Applicable to this RFA")</f>
        <v>Applicable to this RFA</v>
      </c>
    </row>
    <row r="87" spans="1:23" ht="14.4" customHeight="1">
      <c r="A87" s="4"/>
      <c r="B87" s="4"/>
      <c r="C87" s="4"/>
      <c r="D87" s="1135" t="s">
        <v>1646</v>
      </c>
      <c r="E87" s="483"/>
      <c r="F87" s="483"/>
      <c r="G87" s="483"/>
      <c r="H87" s="573">
        <f>DS_NHTF_PU</f>
        <v>0</v>
      </c>
      <c r="I87" s="2038"/>
      <c r="J87" s="1131"/>
      <c r="N87" s="397">
        <v>1</v>
      </c>
      <c r="O87"/>
      <c r="P87" s="108" t="str">
        <f>IF(N87="","",IF(N87=0,"Not ","")&amp;"Applicable to this RFA")</f>
        <v>Applicable to this RFA</v>
      </c>
      <c r="T87"/>
      <c r="U87"/>
      <c r="V87"/>
      <c r="W87"/>
    </row>
    <row r="88" spans="1:23" ht="14.4" customHeight="1">
      <c r="A88" s="4"/>
      <c r="B88" s="4"/>
      <c r="C88" s="4"/>
      <c r="D88" s="1161" t="s">
        <v>1636</v>
      </c>
      <c r="E88" s="621"/>
      <c r="F88" s="621"/>
      <c r="G88" s="621"/>
      <c r="H88" s="1164">
        <f>ROUNDUP(Data3!C108*Total_Units,0)</f>
        <v>0</v>
      </c>
      <c r="I88" s="2038"/>
      <c r="J88" s="4" t="str">
        <f>"(Max: "&amp;IF(Data3!H108="Yes",TEXT(Data3!C108,"0%")&amp;", or "&amp;ROUNDUP(Data3!C108*Total_Units,0)&amp;" units)",IF(Data3!H109="Yes",TEXT(Data3!C109,"0")&amp;" Units)",""))</f>
        <v>(Max: 25%, or 0 units)</v>
      </c>
      <c r="N88" s="397">
        <v>1</v>
      </c>
      <c r="O88"/>
      <c r="P88" s="108" t="str">
        <f>IF(N88="","",IF(N88=0,"Not ","")&amp;"Applicable to this RFA")</f>
        <v>Applicable to this RFA</v>
      </c>
      <c r="T88"/>
      <c r="U88"/>
      <c r="V88"/>
      <c r="W88"/>
    </row>
    <row r="89" spans="1:23" ht="14.4" customHeight="1">
      <c r="A89" s="4"/>
      <c r="B89" s="4"/>
      <c r="C89" s="4"/>
      <c r="D89" s="1161" t="s">
        <v>1645</v>
      </c>
      <c r="E89" s="621"/>
      <c r="F89" s="621"/>
      <c r="G89" s="621"/>
      <c r="H89" s="1168">
        <f>H87*H88</f>
        <v>0</v>
      </c>
      <c r="I89" s="2038"/>
      <c r="J89" s="1131"/>
      <c r="N89" s="397">
        <v>1</v>
      </c>
      <c r="O89"/>
      <c r="P89" s="108" t="str">
        <f>IF(N89="","",IF(N89=0,"Not ","")&amp;"Applicable to this RFA")</f>
        <v>Applicable to this RFA</v>
      </c>
      <c r="T89"/>
      <c r="U89"/>
      <c r="V89"/>
      <c r="W89"/>
    </row>
    <row r="90" spans="1:23" ht="10.35" customHeight="1">
      <c r="A90" s="4"/>
      <c r="B90" s="4"/>
      <c r="C90" s="4"/>
      <c r="D90" s="1132"/>
      <c r="E90" s="1134"/>
      <c r="F90" s="1134"/>
      <c r="G90" s="1134"/>
      <c r="H90" s="574"/>
      <c r="I90" s="2038"/>
      <c r="J90" s="1131"/>
      <c r="O90" s="57"/>
      <c r="T90"/>
      <c r="U90"/>
      <c r="V90"/>
      <c r="W90"/>
    </row>
    <row r="91" spans="1:23" ht="14.4" customHeight="1">
      <c r="A91" s="4"/>
      <c r="B91" s="4"/>
      <c r="C91" s="4"/>
      <c r="D91" s="1132"/>
      <c r="E91" s="2030" t="s">
        <v>1355</v>
      </c>
      <c r="F91" s="2030"/>
      <c r="G91" s="2030"/>
      <c r="H91" s="573">
        <f>MIN(H86,H87*H88)</f>
        <v>0</v>
      </c>
      <c r="I91" s="1225" t="s">
        <v>1712</v>
      </c>
      <c r="J91" s="1131"/>
      <c r="O91" s="57"/>
      <c r="T91"/>
      <c r="U91"/>
      <c r="V91"/>
      <c r="W91"/>
    </row>
    <row r="92" spans="1:23" ht="10.35" customHeight="1">
      <c r="A92" s="4"/>
      <c r="B92" s="4"/>
      <c r="C92" s="4"/>
      <c r="D92" s="4"/>
      <c r="E92" s="4"/>
      <c r="F92" s="4"/>
      <c r="G92" s="4"/>
      <c r="H92" s="4"/>
      <c r="I92" s="4"/>
      <c r="J92" s="1131"/>
      <c r="O92" s="57"/>
      <c r="T92"/>
      <c r="U92"/>
      <c r="V92"/>
      <c r="W92"/>
    </row>
    <row r="93" spans="1:23" ht="17.399999999999999" customHeight="1">
      <c r="A93" s="4"/>
      <c r="B93" s="4"/>
      <c r="C93" s="175" t="s">
        <v>224</v>
      </c>
      <c r="D93" s="2051" t="s">
        <v>2107</v>
      </c>
      <c r="E93" s="2051"/>
      <c r="F93" s="2051"/>
      <c r="G93" s="2051"/>
      <c r="H93" s="2051"/>
      <c r="I93" s="1165">
        <f>IF(Max_NHTF=0,0,Max_NHTF)</f>
        <v>0</v>
      </c>
      <c r="J93" s="452"/>
      <c r="K93" s="588">
        <v>1</v>
      </c>
      <c r="L93" s="1133">
        <f>IF(AND(K93&lt;&gt;0,I93&lt;&gt;""),K93,0)</f>
        <v>1</v>
      </c>
      <c r="M93" s="1132" t="str">
        <f>CHOOSE(K93+1,"Not to be included in this RFA","A REQUIRED input field for this RFA","An OPTIONAL input field for this RFA")</f>
        <v>A REQUIRED input field for this RFA</v>
      </c>
      <c r="N93"/>
      <c r="O93" s="1166"/>
      <c r="P93"/>
      <c r="T93"/>
      <c r="U93"/>
      <c r="V93"/>
      <c r="W93"/>
    </row>
    <row r="94" spans="1:23" ht="17.399999999999999" customHeight="1">
      <c r="A94" s="4"/>
      <c r="B94" s="4"/>
      <c r="C94" s="175"/>
      <c r="D94" s="4"/>
      <c r="E94" s="4"/>
      <c r="F94" s="4"/>
      <c r="G94" s="4"/>
      <c r="H94" s="4"/>
      <c r="I94" s="4"/>
      <c r="J94" s="452"/>
      <c r="L94" s="1133"/>
      <c r="M94" s="1132"/>
      <c r="O94" s="57"/>
    </row>
    <row r="95" spans="1:23" ht="14.4" hidden="1" customHeight="1">
      <c r="A95" s="4"/>
      <c r="B95" s="180" t="str">
        <f>IF($K$104=0,"",MAX(B$4:B94)+1)</f>
        <v/>
      </c>
      <c r="C95" s="641" t="s">
        <v>565</v>
      </c>
      <c r="D95" s="641"/>
      <c r="E95" s="641"/>
      <c r="F95" s="1568" t="s">
        <v>1089</v>
      </c>
      <c r="G95" s="4"/>
      <c r="H95" s="4"/>
      <c r="I95" s="4"/>
      <c r="J95" s="407"/>
      <c r="O95" s="57"/>
    </row>
    <row r="96" spans="1:23" ht="10.35" hidden="1" customHeight="1">
      <c r="A96" s="4"/>
      <c r="B96" s="4"/>
      <c r="C96" s="4"/>
      <c r="D96" s="4"/>
      <c r="E96" s="4"/>
      <c r="F96" s="4"/>
      <c r="G96" s="4"/>
      <c r="H96" s="4"/>
      <c r="I96" s="4"/>
      <c r="J96" s="407"/>
      <c r="O96" s="57"/>
    </row>
    <row r="97" spans="1:16" ht="17.399999999999999" hidden="1" customHeight="1">
      <c r="A97" s="4"/>
      <c r="B97" s="4"/>
      <c r="C97" s="4"/>
      <c r="D97" s="565" t="s">
        <v>1087</v>
      </c>
      <c r="E97" s="483"/>
      <c r="F97" s="483"/>
      <c r="G97" s="483"/>
      <c r="H97" s="573"/>
      <c r="I97" s="4"/>
      <c r="J97" s="562"/>
      <c r="O97" s="57"/>
    </row>
    <row r="98" spans="1:16" ht="17.399999999999999" hidden="1" customHeight="1">
      <c r="A98" s="4"/>
      <c r="B98" s="4"/>
      <c r="C98" s="4"/>
      <c r="D98" s="1132" t="s">
        <v>1088</v>
      </c>
      <c r="E98" s="1134"/>
      <c r="F98" s="1134"/>
      <c r="G98" s="1134"/>
      <c r="H98" s="574"/>
      <c r="I98" s="4"/>
      <c r="J98" s="562"/>
      <c r="O98" s="57"/>
    </row>
    <row r="99" spans="1:16" ht="17.399999999999999" hidden="1" customHeight="1">
      <c r="A99" s="4"/>
      <c r="B99" s="4"/>
      <c r="C99" s="4"/>
      <c r="D99" s="1172" t="s">
        <v>1648</v>
      </c>
      <c r="E99" s="1173"/>
      <c r="F99" s="1173"/>
      <c r="G99" s="1173"/>
      <c r="H99" s="1174"/>
      <c r="I99" s="4"/>
      <c r="J99" s="1131"/>
      <c r="O99" s="57"/>
    </row>
    <row r="100" spans="1:16" ht="17.399999999999999" hidden="1" customHeight="1">
      <c r="A100" s="4"/>
      <c r="B100" s="4"/>
      <c r="C100" s="4"/>
      <c r="D100" s="1171" t="s">
        <v>1649</v>
      </c>
      <c r="E100" s="484"/>
      <c r="F100" s="484"/>
      <c r="G100" s="484"/>
      <c r="H100" s="607"/>
      <c r="I100" s="4"/>
      <c r="J100" s="1131"/>
      <c r="O100" s="57"/>
    </row>
    <row r="101" spans="1:16" ht="10.35" hidden="1" customHeight="1">
      <c r="A101" s="4"/>
      <c r="B101" s="4"/>
      <c r="C101" s="4"/>
      <c r="D101" s="566"/>
      <c r="E101" s="563"/>
      <c r="F101" s="563"/>
      <c r="G101" s="563"/>
      <c r="H101" s="574"/>
      <c r="I101" s="4"/>
      <c r="J101" s="562"/>
      <c r="O101" s="57"/>
    </row>
    <row r="102" spans="1:16" ht="30" hidden="1" customHeight="1">
      <c r="A102" s="4"/>
      <c r="B102" s="4"/>
      <c r="C102" s="4"/>
      <c r="D102" s="566"/>
      <c r="E102" s="2030" t="s">
        <v>1355</v>
      </c>
      <c r="F102" s="2030"/>
      <c r="G102" s="2030"/>
      <c r="H102" s="573">
        <f>MIN(H97,H100)</f>
        <v>0</v>
      </c>
      <c r="I102" s="1230" t="s">
        <v>1713</v>
      </c>
      <c r="J102" s="562"/>
      <c r="O102" s="57"/>
    </row>
    <row r="103" spans="1:16" ht="10.35" hidden="1" customHeight="1">
      <c r="A103" s="4"/>
      <c r="B103" s="4"/>
      <c r="C103" s="4"/>
      <c r="D103" s="4"/>
      <c r="E103" s="4"/>
      <c r="F103" s="4"/>
      <c r="G103" s="4"/>
      <c r="H103" s="4"/>
      <c r="I103" s="4"/>
      <c r="J103" s="562"/>
      <c r="O103" s="57"/>
    </row>
    <row r="104" spans="1:16" ht="17.399999999999999" hidden="1" customHeight="1">
      <c r="A104" s="4"/>
      <c r="B104" s="4"/>
      <c r="C104" s="175" t="s">
        <v>224</v>
      </c>
      <c r="D104" s="4" t="s">
        <v>566</v>
      </c>
      <c r="E104" s="4"/>
      <c r="F104" s="4"/>
      <c r="G104" s="4"/>
      <c r="H104" s="4"/>
      <c r="I104" s="1618"/>
      <c r="J104" s="452"/>
      <c r="K104" s="588">
        <v>0</v>
      </c>
      <c r="L104" s="564">
        <f>IF(AND(K104&lt;&gt;0,I104&lt;&gt;""),K104,0)</f>
        <v>0</v>
      </c>
      <c r="M104" s="566" t="str">
        <f>CHOOSE(K104+1,"Not to be included in this RFA","A REQUIRED input field for this RFA","An OPTIONAL input field for this RFA")</f>
        <v>Not to be included in this RFA</v>
      </c>
      <c r="O104" s="57"/>
    </row>
    <row r="105" spans="1:16" ht="10.35" hidden="1" customHeight="1">
      <c r="A105" s="4"/>
      <c r="B105" s="4"/>
      <c r="C105" s="4"/>
      <c r="D105" s="4"/>
      <c r="E105" s="4"/>
      <c r="F105" s="4"/>
      <c r="G105" s="4"/>
      <c r="H105" s="4"/>
      <c r="I105" s="4"/>
      <c r="J105" s="407"/>
      <c r="O105" s="57"/>
    </row>
    <row r="106" spans="1:16" ht="14.4" hidden="1" customHeight="1">
      <c r="A106" s="4"/>
      <c r="B106" s="180" t="str">
        <f>IF(AND($K$125=0,$K$127=0),"",MAX(B$4:B105)+1)</f>
        <v/>
      </c>
      <c r="C106" s="1839" t="s">
        <v>877</v>
      </c>
      <c r="D106" s="1839"/>
      <c r="E106" s="1839"/>
      <c r="F106" s="1839"/>
      <c r="G106" s="1839"/>
      <c r="H106" s="1839"/>
      <c r="I106" s="1839"/>
      <c r="J106" s="407"/>
    </row>
    <row r="107" spans="1:16" ht="10.35" hidden="1" customHeight="1">
      <c r="A107" s="4"/>
      <c r="B107" s="4"/>
      <c r="C107" s="4"/>
      <c r="D107" s="4"/>
      <c r="E107" s="4"/>
      <c r="F107" s="4"/>
      <c r="G107" s="4"/>
      <c r="H107" s="4"/>
      <c r="I107" s="4"/>
      <c r="J107" s="407"/>
    </row>
    <row r="108" spans="1:16" ht="14.4" hidden="1" customHeight="1">
      <c r="A108" s="4"/>
      <c r="B108" s="7"/>
      <c r="C108" s="42" t="s">
        <v>1051</v>
      </c>
      <c r="J108" s="504"/>
      <c r="K108" s="42"/>
    </row>
    <row r="109" spans="1:16" ht="10.35" hidden="1" customHeight="1">
      <c r="A109" s="4"/>
      <c r="B109" s="7"/>
      <c r="C109" s="181"/>
      <c r="D109" s="506"/>
      <c r="E109" s="506"/>
      <c r="F109" s="506"/>
      <c r="G109" s="506"/>
      <c r="H109" s="506"/>
      <c r="I109" s="4"/>
      <c r="J109" s="504"/>
      <c r="L109" s="508"/>
      <c r="M109" s="509"/>
    </row>
    <row r="110" spans="1:16" hidden="1">
      <c r="A110" s="4"/>
      <c r="B110" s="7"/>
      <c r="C110" s="181"/>
      <c r="D110" s="2033" t="s">
        <v>1052</v>
      </c>
      <c r="E110" s="2033"/>
      <c r="F110" s="2033"/>
      <c r="G110" s="2033"/>
      <c r="H110" s="2033"/>
      <c r="I110" s="4"/>
      <c r="J110" s="504"/>
      <c r="L110" s="508"/>
      <c r="M110" s="509"/>
    </row>
    <row r="111" spans="1:16" hidden="1">
      <c r="A111" s="4"/>
      <c r="B111" s="7"/>
      <c r="C111" s="181"/>
      <c r="D111" s="505"/>
      <c r="E111" s="483" t="str">
        <f>Data3!D111</f>
        <v>Per Development - Broward, Miami-Dade</v>
      </c>
      <c r="F111" s="483"/>
      <c r="G111" s="483"/>
      <c r="H111" s="560" t="str">
        <f>IF(N111=0,"",IF(County="&lt;select one&gt;","Select a County",IF(OR(County="Broward",County="Miami-Dade"),Data3!C111,"NA")))</f>
        <v/>
      </c>
      <c r="I111" s="4"/>
      <c r="J111" s="504"/>
      <c r="L111" s="508"/>
      <c r="M111" s="509"/>
      <c r="N111" s="588">
        <v>0</v>
      </c>
      <c r="P111" s="14" t="str">
        <f t="shared" ref="P111:P121" si="2">IF(N111="","",IF(N111=0,"Not ","")&amp;"Applicable to this RFA")</f>
        <v>Not Applicable to this RFA</v>
      </c>
    </row>
    <row r="112" spans="1:16" hidden="1">
      <c r="A112" s="4"/>
      <c r="B112" s="7"/>
      <c r="C112" s="181"/>
      <c r="D112" s="505"/>
      <c r="E112" s="483" t="str">
        <f>Data3!D112</f>
        <v>Per Development - Hillsborough, Orange, Palm Beach</v>
      </c>
      <c r="F112" s="483"/>
      <c r="G112" s="483"/>
      <c r="H112" s="560" t="str">
        <f>IF(N112=0,"",IF(County="&lt;select one&gt;","Select a County",IF(OR(County="Hillsborough",County="Orange",County="Palm Beach"),Data3!C112,"NA")))</f>
        <v/>
      </c>
      <c r="I112" s="4"/>
      <c r="J112" s="504"/>
      <c r="L112" s="508"/>
      <c r="M112" s="509"/>
      <c r="N112" s="588">
        <v>0</v>
      </c>
      <c r="P112" s="14" t="str">
        <f t="shared" si="2"/>
        <v>Not Applicable to this RFA</v>
      </c>
    </row>
    <row r="113" spans="1:16" hidden="1">
      <c r="A113" s="4"/>
      <c r="B113" s="7"/>
      <c r="C113" s="181"/>
      <c r="D113" s="505"/>
      <c r="E113" s="483" t="str">
        <f>Data3!D113</f>
        <v>Per Development - Duval</v>
      </c>
      <c r="F113" s="483"/>
      <c r="G113" s="483"/>
      <c r="H113" s="560" t="str">
        <f>IF(N113=0,"",IF(County="&lt;select one&gt;","Select a County",IF(County="Duval",Data3!C113,"NA")))</f>
        <v/>
      </c>
      <c r="I113" s="4"/>
      <c r="J113" s="504"/>
      <c r="L113" s="508"/>
      <c r="M113" s="509"/>
      <c r="N113" s="588">
        <v>0</v>
      </c>
      <c r="P113" s="14" t="str">
        <f t="shared" si="2"/>
        <v>Not Applicable to this RFA</v>
      </c>
    </row>
    <row r="114" spans="1:16" hidden="1">
      <c r="A114" s="4"/>
      <c r="B114" s="7"/>
      <c r="C114" s="181"/>
      <c r="D114" s="505"/>
      <c r="E114" s="483" t="str">
        <f>Data3!D114</f>
        <v>Per Development - Small Counties</v>
      </c>
      <c r="F114" s="483"/>
      <c r="G114" s="483"/>
      <c r="H114" s="560" t="str">
        <f>IF(N114=0,"",IF(County="&lt;select one&gt;","Select a County",IF(AND(VLOOKUP(County,DS_County_Sizes,8,FALSE)="Small",County&lt;&gt;"Monroe"),Data3!C114,"NA")))</f>
        <v/>
      </c>
      <c r="I114" s="4"/>
      <c r="J114" s="504"/>
      <c r="L114" s="508"/>
      <c r="M114" s="509"/>
      <c r="N114" s="588">
        <v>0</v>
      </c>
      <c r="P114" s="14" t="str">
        <f t="shared" si="2"/>
        <v>Not Applicable to this RFA</v>
      </c>
    </row>
    <row r="115" spans="1:16" hidden="1">
      <c r="A115" s="4"/>
      <c r="B115" s="7"/>
      <c r="C115" s="181"/>
      <c r="D115" s="505"/>
      <c r="E115" s="483" t="str">
        <f>Data3!D115</f>
        <v>Per Development - Medium Counties</v>
      </c>
      <c r="F115" s="483"/>
      <c r="G115" s="483"/>
      <c r="H115" s="560" t="str">
        <f>IF(N115=0,"",IF(County="&lt;select one&gt;","Select a County",IF(VLOOKUP(County,DS_County_Sizes,8,FALSE)="Medium",Data3!C115,"NA")))</f>
        <v/>
      </c>
      <c r="I115" s="4"/>
      <c r="J115" s="504"/>
      <c r="L115" s="508"/>
      <c r="M115" s="509"/>
      <c r="N115" s="588">
        <v>0</v>
      </c>
      <c r="P115" s="14" t="str">
        <f t="shared" si="2"/>
        <v>Not Applicable to this RFA</v>
      </c>
    </row>
    <row r="116" spans="1:16" hidden="1">
      <c r="A116" s="4"/>
      <c r="B116" s="7"/>
      <c r="C116" s="181"/>
      <c r="D116" s="505"/>
      <c r="E116" s="483" t="str">
        <f>Data3!D116</f>
        <v>Per Development - Preservation, Large</v>
      </c>
      <c r="F116" s="483"/>
      <c r="G116" s="483"/>
      <c r="H116" s="561" t="str">
        <f>IF(N116=0,"",IF(County="&lt;select one&gt;","Select a County",IF(AND(VLOOKUP(County,DS_County_Sizes,8,FALSE)="Large",OR(Development_Category="Preservation",Development_Category="Acquisition and Preservation")),Data3!C116,"NA")))</f>
        <v/>
      </c>
      <c r="I116" s="4"/>
      <c r="J116" s="504"/>
      <c r="L116" s="508"/>
      <c r="M116" s="509"/>
      <c r="N116" s="588">
        <v>0</v>
      </c>
      <c r="P116" s="14" t="str">
        <f t="shared" si="2"/>
        <v>Not Applicable to this RFA</v>
      </c>
    </row>
    <row r="117" spans="1:16" hidden="1">
      <c r="A117" s="4"/>
      <c r="B117" s="7"/>
      <c r="C117" s="181"/>
      <c r="D117" s="505"/>
      <c r="E117" s="483" t="str">
        <f>Data3!D117</f>
        <v>Per Development - Small Counties (PDC/PDD)</v>
      </c>
      <c r="F117" s="483"/>
      <c r="G117" s="483"/>
      <c r="H117" s="560" t="str">
        <f>IF(N117=0,"",IF(County="&lt;select one&gt;","Select a County",IF(AND(VLOOKUP(County,DS_County_Sizes,8,FALSE)="Small",OR(Demographic="Persons with a Disabiling Condition",Demographic="Persons with Developmental Disabilities")),Data3!C117,"NA")))</f>
        <v/>
      </c>
      <c r="I117" s="4"/>
      <c r="J117" s="504"/>
      <c r="L117" s="508"/>
      <c r="M117" s="509"/>
      <c r="N117" s="588">
        <v>0</v>
      </c>
      <c r="P117" s="14" t="str">
        <f t="shared" si="2"/>
        <v>Not Applicable to this RFA</v>
      </c>
    </row>
    <row r="118" spans="1:16" hidden="1">
      <c r="A118" s="4"/>
      <c r="B118" s="7"/>
      <c r="C118" s="181"/>
      <c r="D118" s="505"/>
      <c r="E118" s="483" t="str">
        <f>Data3!D118</f>
        <v>Per Development - Keys Workforce (&lt;61 units)</v>
      </c>
      <c r="F118" s="483"/>
      <c r="G118" s="483"/>
      <c r="H118" s="560" t="str">
        <f>IF(N118=0,"",IF(County="&lt;select one&gt;","Select a County",IF(County="Monroe",Data3!C118,"NA")))</f>
        <v/>
      </c>
      <c r="I118" s="4"/>
      <c r="J118" s="504"/>
      <c r="L118" s="508"/>
      <c r="M118" s="509"/>
      <c r="N118" s="588">
        <v>0</v>
      </c>
      <c r="P118" s="14" t="str">
        <f t="shared" si="2"/>
        <v>Not Applicable to this RFA</v>
      </c>
    </row>
    <row r="119" spans="1:16" hidden="1">
      <c r="A119" s="4"/>
      <c r="B119" s="7"/>
      <c r="C119" s="181"/>
      <c r="D119" s="505"/>
      <c r="E119" s="483" t="s">
        <v>1058</v>
      </c>
      <c r="F119" s="483"/>
      <c r="G119" s="483"/>
      <c r="H119" s="560" t="str">
        <f>IF(N119=0,"",IF(County="&lt;select one&gt;","Select a County",IF(AND(County="Monroe",Total_Units&gt;60),Data3!C119,"NA")))</f>
        <v/>
      </c>
      <c r="I119" s="4"/>
      <c r="J119" s="504"/>
      <c r="L119" s="508"/>
      <c r="M119" s="509"/>
      <c r="N119" s="588">
        <v>0</v>
      </c>
      <c r="P119" s="14" t="str">
        <f t="shared" si="2"/>
        <v>Not Applicable to this RFA</v>
      </c>
    </row>
    <row r="120" spans="1:16" hidden="1">
      <c r="A120" s="4"/>
      <c r="B120" s="7"/>
      <c r="C120" s="181"/>
      <c r="D120" s="505"/>
      <c r="E120" s="483" t="s">
        <v>1062</v>
      </c>
      <c r="F120" s="483"/>
      <c r="G120" s="483"/>
      <c r="H120" s="560" t="str">
        <f>IF(N120=0,"",IF(County="&lt;select one&gt;","Select a County",IF(County="Monroe",Data3!C120,"NA")))</f>
        <v/>
      </c>
      <c r="I120" s="4"/>
      <c r="J120" s="504"/>
      <c r="L120" s="508"/>
      <c r="M120" s="509"/>
      <c r="N120" s="588">
        <v>0</v>
      </c>
      <c r="P120" s="14" t="str">
        <f t="shared" si="2"/>
        <v>Not Applicable to this RFA</v>
      </c>
    </row>
    <row r="121" spans="1:16" hidden="1">
      <c r="A121" s="4"/>
      <c r="B121" s="7"/>
      <c r="C121" s="181"/>
      <c r="D121" s="505"/>
      <c r="E121" s="483" t="s">
        <v>1063</v>
      </c>
      <c r="F121" s="483"/>
      <c r="G121" s="483"/>
      <c r="H121" s="560" t="str">
        <f>IF(N121=0,"",IF(County="&lt;select one&gt;","Select a County",IF(AND(County="Monroe",Total_Units&gt;60),Data3!C121,"NA")))</f>
        <v/>
      </c>
      <c r="I121" s="4"/>
      <c r="J121" s="504"/>
      <c r="L121" s="508"/>
      <c r="M121" s="509"/>
      <c r="N121" s="588">
        <v>0</v>
      </c>
      <c r="P121" s="14" t="str">
        <f t="shared" si="2"/>
        <v>Not Applicable to this RFA</v>
      </c>
    </row>
    <row r="122" spans="1:16" ht="10.35" hidden="1" customHeight="1">
      <c r="A122" s="4"/>
      <c r="B122" s="7"/>
      <c r="C122" s="181"/>
      <c r="D122" s="505"/>
      <c r="E122" s="505"/>
      <c r="F122" s="505"/>
      <c r="G122" s="505"/>
      <c r="H122" s="505"/>
      <c r="I122" s="4"/>
      <c r="J122" s="504"/>
      <c r="L122" s="508"/>
      <c r="M122" s="509"/>
    </row>
    <row r="123" spans="1:16" ht="30" hidden="1" customHeight="1">
      <c r="A123" s="4"/>
      <c r="B123" s="7"/>
      <c r="C123" s="181"/>
      <c r="D123" s="505"/>
      <c r="E123" s="2030" t="s">
        <v>1353</v>
      </c>
      <c r="F123" s="2030"/>
      <c r="G123" s="2030"/>
      <c r="H123" s="1442">
        <f>IF(AND(N111=1,H111&lt;&gt;"NA"),H111,IF(AND(N112=1,H112&lt;&gt;"NA"),H112,IF(AND(N113=1,H113&lt;&gt;"NA"),H113,IF(AND(N114=1,H114&lt;&gt;"NA"),H114,IF(AND(N115=1,H115&lt;&gt;"NA"),H115,IF(AND(N116=1,H116&lt;&gt;"NA"),H116,IF(AND(N117=1,H117&lt;&gt;"NA"),H117,IF(AND(N119=1,H119&lt;&gt;"NA"),MIN(MIN(H118+IF(Total_Units&gt;60,(Total_Units-60)*H121,0),IF(Total_Units&lt;61,Total_Units*H120,H119)),IF(Total_Units&gt;60,H119,H118)),0))))))))</f>
        <v>0</v>
      </c>
      <c r="I123" s="1227" t="s">
        <v>1712</v>
      </c>
      <c r="J123" s="504"/>
      <c r="L123" s="508"/>
      <c r="M123" s="509"/>
    </row>
    <row r="124" spans="1:16" ht="10.35" hidden="1" customHeight="1">
      <c r="A124" s="4"/>
      <c r="B124" s="7"/>
      <c r="C124" s="181"/>
      <c r="D124" s="506"/>
      <c r="E124" s="506"/>
      <c r="F124" s="506"/>
      <c r="G124" s="506"/>
      <c r="H124" s="506"/>
      <c r="I124" s="4"/>
      <c r="J124" s="504"/>
      <c r="L124" s="508"/>
      <c r="M124" s="509"/>
    </row>
    <row r="125" spans="1:16" ht="17.399999999999999" hidden="1" customHeight="1">
      <c r="A125" s="4"/>
      <c r="B125" s="7"/>
      <c r="C125" s="181" t="str">
        <f>IF($K125=0,"-","a")</f>
        <v>-</v>
      </c>
      <c r="D125" s="2039" t="s">
        <v>878</v>
      </c>
      <c r="E125" s="2039"/>
      <c r="F125" s="2039"/>
      <c r="G125" s="2039"/>
      <c r="H125" s="2039"/>
      <c r="I125" s="1618"/>
      <c r="J125" s="504"/>
      <c r="K125" s="588">
        <v>0</v>
      </c>
      <c r="L125" s="564">
        <f>IF(AND(K125&lt;&gt;0,I125&lt;&gt;""),K125,0)</f>
        <v>0</v>
      </c>
      <c r="M125" s="566" t="str">
        <f>CHOOSE(K125+1,"Not to be included in this RFA","A REQUIRED input field for this RFA","An OPTIONAL input field for this RFA")</f>
        <v>Not to be included in this RFA</v>
      </c>
    </row>
    <row r="126" spans="1:16" ht="14.4" hidden="1" customHeight="1">
      <c r="A126" s="4"/>
      <c r="B126" s="4"/>
      <c r="C126" s="4"/>
      <c r="D126" s="16"/>
      <c r="E126" s="4"/>
      <c r="F126" s="4"/>
      <c r="G126" s="4"/>
      <c r="H126" s="4"/>
      <c r="I126" s="4"/>
      <c r="J126" s="407"/>
      <c r="O126" s="57"/>
    </row>
    <row r="127" spans="1:16" ht="17.25" hidden="1" customHeight="1">
      <c r="A127" s="4"/>
      <c r="B127" s="4"/>
      <c r="C127" s="376" t="str">
        <f>IF($K127=0,"-","a")</f>
        <v>-</v>
      </c>
      <c r="D127" s="2034" t="s">
        <v>879</v>
      </c>
      <c r="E127" s="2034"/>
      <c r="F127" s="2034"/>
      <c r="G127" s="2034"/>
      <c r="H127" s="2034"/>
      <c r="I127" s="1618"/>
      <c r="J127" s="504"/>
      <c r="K127" s="588">
        <v>0</v>
      </c>
      <c r="L127" s="564">
        <f>IF(AND(K127&lt;&gt;0,I127&lt;&gt;""),K127,0)</f>
        <v>0</v>
      </c>
      <c r="M127" s="566" t="str">
        <f>CHOOSE(K127+1,"Not to be included in this RFA","A REQUIRED input field for this RFA","An OPTIONAL input field for this RFA")</f>
        <v>Not to be included in this RFA</v>
      </c>
      <c r="O127" s="57"/>
    </row>
    <row r="128" spans="1:16" ht="10.35" hidden="1" customHeight="1">
      <c r="A128" s="4"/>
      <c r="B128" s="4"/>
      <c r="C128" s="4"/>
      <c r="D128" s="4"/>
      <c r="E128" s="4"/>
      <c r="F128" s="4"/>
      <c r="G128" s="4"/>
      <c r="H128" s="4"/>
      <c r="I128" s="4"/>
      <c r="J128" s="407"/>
      <c r="O128" s="57"/>
    </row>
    <row r="129" spans="1:15" hidden="1">
      <c r="A129" s="4"/>
      <c r="B129" s="4"/>
      <c r="C129" s="181" t="str" cm="1">
        <f t="array" ref="C129">IF($K$130=0,"-",IFERROR(CHAR(CODE(LOOKUP(2,1/(COUNTIF(C$109:C128,"&gt;"&amp;C$109:C128&amp;"*")=0),C$109:C128))+1),"b"))</f>
        <v>-</v>
      </c>
      <c r="D129" s="6" t="s">
        <v>551</v>
      </c>
      <c r="E129" s="4"/>
      <c r="F129" s="4"/>
      <c r="G129" s="4"/>
      <c r="H129" s="4"/>
      <c r="I129" s="4"/>
      <c r="J129" s="407"/>
      <c r="O129" s="57"/>
    </row>
    <row r="130" spans="1:15" ht="17.399999999999999" hidden="1" customHeight="1">
      <c r="A130" s="4"/>
      <c r="B130" s="4"/>
      <c r="C130" s="4"/>
      <c r="D130" s="4"/>
      <c r="E130" s="1836" t="s">
        <v>195</v>
      </c>
      <c r="F130" s="1836"/>
      <c r="G130" s="4"/>
      <c r="H130" s="4"/>
      <c r="I130" s="4"/>
      <c r="J130" s="407"/>
      <c r="K130" s="588">
        <v>0</v>
      </c>
      <c r="L130" s="564">
        <f>IF(AND(K130&lt;&gt;0,AND(E130&lt;&gt;"&lt;select from menu&gt;",E130&lt;&gt;"")),K130,0)</f>
        <v>0</v>
      </c>
      <c r="M130" s="566" t="str">
        <f>CHOOSE(K130+1,"Not to be included in this RFA","A REQUIRED input field for this RFA","An OPTIONAL input field for this RFA")</f>
        <v>Not to be included in this RFA</v>
      </c>
      <c r="O130" s="57"/>
    </row>
    <row r="131" spans="1:15" ht="10.35" hidden="1" customHeight="1">
      <c r="A131" s="4"/>
      <c r="B131" s="4"/>
      <c r="C131" s="4"/>
      <c r="D131" s="4"/>
      <c r="E131" s="4"/>
      <c r="F131" s="4"/>
      <c r="G131" s="4"/>
      <c r="H131" s="4"/>
      <c r="I131" s="4"/>
      <c r="J131" s="407"/>
      <c r="O131" s="57"/>
    </row>
    <row r="132" spans="1:15" hidden="1">
      <c r="A132" s="4"/>
      <c r="B132" s="4"/>
      <c r="C132" s="181" t="str" cm="1">
        <f t="array" ref="C132">IF($K$130=0,"-",IFERROR(CHAR(CODE(LOOKUP(2,1/(COUNTIF(C$109:C131,"&gt;"&amp;C$109:C131&amp;"*")=0),C$109:C131))+1),"b"))</f>
        <v>-</v>
      </c>
      <c r="D132" s="6" t="s">
        <v>552</v>
      </c>
      <c r="E132" s="4"/>
      <c r="F132" s="4"/>
      <c r="G132" s="4"/>
      <c r="H132" s="4"/>
      <c r="I132" s="4"/>
      <c r="J132" s="407"/>
      <c r="O132" s="57"/>
    </row>
    <row r="133" spans="1:15" hidden="1">
      <c r="A133" s="4"/>
      <c r="B133" s="4"/>
      <c r="C133" s="4"/>
      <c r="D133" s="179" t="str">
        <f>IF($K134=0,"",LOWER(ROMAN(1)))</f>
        <v/>
      </c>
      <c r="E133" s="6" t="s">
        <v>1454</v>
      </c>
      <c r="F133" s="195"/>
      <c r="G133" s="4"/>
      <c r="H133" s="4"/>
      <c r="I133" s="4"/>
      <c r="J133" s="407"/>
      <c r="O133" s="57"/>
    </row>
    <row r="134" spans="1:15" ht="17.399999999999999" hidden="1" customHeight="1">
      <c r="A134" s="4"/>
      <c r="B134" s="4"/>
      <c r="C134" s="4"/>
      <c r="D134" s="4"/>
      <c r="E134" s="1836" t="s">
        <v>195</v>
      </c>
      <c r="F134" s="1836"/>
      <c r="G134" s="4"/>
      <c r="H134" s="4"/>
      <c r="I134" s="4"/>
      <c r="J134" s="407"/>
      <c r="K134" s="588">
        <v>0</v>
      </c>
      <c r="L134" s="564">
        <f>IF(AND(K134&lt;&gt;0,AND(E134&lt;&gt;"&lt;select from menu&gt;",E134&lt;&gt;"")),K134,0)</f>
        <v>0</v>
      </c>
      <c r="M134" s="566" t="str">
        <f>CHOOSE(K134+1,"Not to be included in this RFA","A REQUIRED input field for this RFA","An OPTIONAL input field for this RFA")</f>
        <v>Not to be included in this RFA</v>
      </c>
      <c r="O134" s="57"/>
    </row>
    <row r="135" spans="1:15" hidden="1">
      <c r="A135" s="4"/>
      <c r="B135" s="4"/>
      <c r="C135" s="4"/>
      <c r="D135" s="4"/>
      <c r="E135" s="30" t="s">
        <v>423</v>
      </c>
      <c r="F135" s="30"/>
      <c r="G135" s="4"/>
      <c r="H135" s="4"/>
      <c r="I135" s="4"/>
      <c r="J135" s="407"/>
      <c r="O135" s="57"/>
    </row>
    <row r="136" spans="1:15" ht="17.399999999999999" hidden="1" customHeight="1">
      <c r="A136" s="4"/>
      <c r="B136" s="4"/>
      <c r="C136" s="4"/>
      <c r="D136" s="4"/>
      <c r="E136" s="1836"/>
      <c r="F136" s="1836"/>
      <c r="G136" s="4"/>
      <c r="H136" s="4"/>
      <c r="I136" s="4"/>
      <c r="J136" s="407"/>
      <c r="K136" s="383">
        <f>IF(E134="No",2,K134)</f>
        <v>0</v>
      </c>
      <c r="L136" s="564">
        <f>IF(AND(K136&lt;&gt;0,E136&lt;&gt;""),K136,0)</f>
        <v>0</v>
      </c>
      <c r="M136" s="566" t="str">
        <f>CHOOSE(K136+1,"Not to be included in this RFA","A REQUIRED input field for this RFA","An OPTIONAL input field for this RFA")</f>
        <v>Not to be included in this RFA</v>
      </c>
      <c r="O136" s="57"/>
    </row>
    <row r="137" spans="1:15" hidden="1">
      <c r="A137" s="4"/>
      <c r="B137" s="4"/>
      <c r="C137" s="4"/>
      <c r="D137" s="4"/>
      <c r="E137" s="4"/>
      <c r="F137" s="4"/>
      <c r="G137" s="4"/>
      <c r="H137" s="4"/>
      <c r="I137" s="4"/>
      <c r="J137" s="407"/>
      <c r="K137" s="663"/>
      <c r="L137" s="14"/>
      <c r="M137" s="14"/>
      <c r="O137" s="57"/>
    </row>
    <row r="138" spans="1:15" hidden="1">
      <c r="A138" s="4"/>
      <c r="B138" s="4"/>
      <c r="C138" s="4"/>
      <c r="D138" s="183" t="str" cm="1">
        <f t="array" ref="D138">IF($K139=0,"",LOWER(ROMAN(MAX(_xlfn.ARABIC(D$133:D136))+1)))</f>
        <v/>
      </c>
      <c r="E138" s="18" t="str">
        <f>"Are any buildings in the proposed Development located in a HUD-designated SADDA"&amp;IF(County="&lt;select one&gt;",""," for "&amp;County&amp;" County")&amp;"?"</f>
        <v>Are any buildings in the proposed Development located in a HUD-designated SADDA?</v>
      </c>
      <c r="F138" s="18"/>
      <c r="G138" s="4"/>
      <c r="H138" s="4"/>
      <c r="I138" s="4"/>
      <c r="J138" s="407"/>
      <c r="O138" s="57"/>
    </row>
    <row r="139" spans="1:15" ht="17.399999999999999" hidden="1" customHeight="1">
      <c r="A139" s="4"/>
      <c r="B139" s="4"/>
      <c r="C139" s="4"/>
      <c r="D139" s="4"/>
      <c r="E139" s="1908" t="s">
        <v>195</v>
      </c>
      <c r="F139" s="1908"/>
      <c r="G139" s="4"/>
      <c r="H139" s="4"/>
      <c r="I139" s="4"/>
      <c r="J139" s="407"/>
      <c r="K139" s="588">
        <v>0</v>
      </c>
      <c r="L139" s="564">
        <f>IF(AND(K139&lt;&gt;0,AND(E139&lt;&gt;"&lt;select from menu&gt;",E139&lt;&gt;"")),K139,0)</f>
        <v>0</v>
      </c>
      <c r="M139" s="566" t="str">
        <f>CHOOSE(K139+1,"Not to be included in this RFA","A REQUIRED input field for this RFA","An OPTIONAL input field for this RFA")</f>
        <v>Not to be included in this RFA</v>
      </c>
      <c r="O139" s="57"/>
    </row>
    <row r="140" spans="1:15" hidden="1">
      <c r="A140" s="4"/>
      <c r="B140" s="4"/>
      <c r="C140" s="4"/>
      <c r="D140" s="4"/>
      <c r="E140" s="160" t="str">
        <f>"If “Yes”, provide the SADDA ZCTA Number(s)*"&amp;IF(County="&lt;select one&gt;",""," for "&amp;County&amp;" County")&amp;":"</f>
        <v>If “Yes”, provide the SADDA ZCTA Number(s)*:</v>
      </c>
      <c r="F140" s="193"/>
      <c r="G140" s="4"/>
      <c r="H140" s="4"/>
      <c r="I140" s="4"/>
      <c r="J140" s="407"/>
      <c r="O140" s="57"/>
    </row>
    <row r="141" spans="1:15" ht="17.399999999999999" hidden="1" customHeight="1">
      <c r="A141" s="4"/>
      <c r="B141" s="4"/>
      <c r="C141" s="4"/>
      <c r="D141" s="4"/>
      <c r="E141" s="2035"/>
      <c r="F141" s="1908"/>
      <c r="G141" s="2027" t="str">
        <f>IF(OR(E$139="&lt;select from menu&gt;",E141=""),"",IF(ISNA(VLOOKUP(E141,DS_ZCTAs_2022,1,FALSE)),"Invalid Entry - The ZCTA is not in the HUD "&amp;LEFT(Data2!$A$22,4)&amp;" database",IF(County=IFERROR(VLOOKUP(E141,DS_ZCTAs_2022,2,FALSE),""),"The ZCTA is in the HUD "&amp;LEFT(Data2!$A$22,4)&amp;" database for "&amp;IFERROR(VLOOKUP(E141,DS_ZCTAs_2022,2,FALSE),"")&amp;" County.","The ZCTA is located in "&amp;IFERROR(VLOOKUP(E141,DS_ZCTAs_2022,2,FALSE),"")&amp;" County, not the proposed Development's county of "&amp;County&amp;".")))</f>
        <v/>
      </c>
      <c r="H141" s="2027"/>
      <c r="I141" s="2027"/>
      <c r="J141" s="407"/>
      <c r="K141" s="588">
        <v>0</v>
      </c>
      <c r="L141" s="564">
        <f>IF(AND(K141&lt;&gt;0,E141&lt;&gt;""),K141,0)</f>
        <v>0</v>
      </c>
      <c r="M141" s="566" t="str">
        <f>CHOOSE(K141+1,"Not to be included in this RFA","A REQUIRED input field for this RFA","An OPTIONAL input field for this RFA")</f>
        <v>Not to be included in this RFA</v>
      </c>
      <c r="O141" s="57"/>
    </row>
    <row r="142" spans="1:15" ht="17.399999999999999" hidden="1" customHeight="1">
      <c r="A142" s="4"/>
      <c r="B142" s="4"/>
      <c r="C142" s="4"/>
      <c r="D142" s="4"/>
      <c r="E142" s="1910"/>
      <c r="F142" s="1910"/>
      <c r="G142" s="2027" t="str">
        <f>IF(OR(E$139="&lt;select from menu&gt;",E142=""),"",IF(ISNA(VLOOKUP(E142,DS_ZCTAs_2022,1,FALSE)),"Invalid Entry - The ZCTA is not in the HUD "&amp;LEFT(Data2!$A$22,4)&amp;" database",IF(County=IFERROR(VLOOKUP(E142,DS_ZCTAs_2022,2,FALSE),""),"The ZCTA is in the HUD "&amp;LEFT(Data2!$A$22,4)&amp;" database for "&amp;IFERROR(VLOOKUP(E142,DS_ZCTAs_2022,2,FALSE),"")&amp;" County.","The ZCTA is located in "&amp;IFERROR(VLOOKUP(E142,DS_ZCTAs_2022,2,FALSE),"")&amp;" County, not the proposed Development's county of "&amp;County&amp;".")))</f>
        <v/>
      </c>
      <c r="H142" s="2027"/>
      <c r="I142" s="2027"/>
      <c r="J142" s="407"/>
      <c r="K142" s="664">
        <f>IF($E139="No",0,IF(AND($E139="Yes",$E141&lt;&gt;""),2,$K139))</f>
        <v>0</v>
      </c>
      <c r="L142" s="564">
        <f>IF(AND(K142&lt;&gt;0,E142&lt;&gt;""),K142,0)</f>
        <v>0</v>
      </c>
      <c r="M142" s="566" t="str">
        <f>CHOOSE(K142+1,"Not to be included in this RFA","A REQUIRED input field for this RFA","An OPTIONAL input field for this RFA")</f>
        <v>Not to be included in this RFA</v>
      </c>
      <c r="O142" s="57"/>
    </row>
    <row r="143" spans="1:15" ht="17.399999999999999" hidden="1" customHeight="1">
      <c r="A143" s="4"/>
      <c r="B143" s="4"/>
      <c r="C143" s="4"/>
      <c r="D143" s="4"/>
      <c r="E143" s="1910"/>
      <c r="F143" s="1910"/>
      <c r="G143" s="2027" t="str">
        <f>IF(OR(E$139="&lt;select from menu&gt;",E143=""),"",IF(ISNA(VLOOKUP(E143,DS_ZCTAs_2022,1,FALSE)),"Invalid Entry - The ZCTA is not in the HUD "&amp;LEFT(Data2!$A$22,4)&amp;" database",IF(County=IFERROR(VLOOKUP(E143,DS_ZCTAs_2022,2,FALSE),""),"The ZCTA is in the HUD "&amp;LEFT(Data2!$A$22,4)&amp;" database for "&amp;IFERROR(VLOOKUP(E143,DS_ZCTAs_2022,2,FALSE),"")&amp;" County.","The ZCTA is located in "&amp;IFERROR(VLOOKUP(E143,DS_ZCTAs_2022,2,FALSE),"")&amp;" County, not the proposed Development's county of "&amp;County&amp;".")))</f>
        <v/>
      </c>
      <c r="H143" s="2027"/>
      <c r="I143" s="2027"/>
      <c r="J143" s="407"/>
      <c r="K143" s="664">
        <f>IF($E139="No",0,IF(AND($E139="Yes",$E141&lt;&gt;""),2,$K139))</f>
        <v>0</v>
      </c>
      <c r="L143" s="564">
        <f>IF(AND(K143&lt;&gt;0,E143&lt;&gt;""),K143,0)</f>
        <v>0</v>
      </c>
      <c r="M143" s="566" t="str">
        <f>CHOOSE(K143+1,"Not to be included in this RFA","A REQUIRED input field for this RFA","An OPTIONAL input field for this RFA")</f>
        <v>Not to be included in this RFA</v>
      </c>
      <c r="O143" s="57"/>
    </row>
    <row r="144" spans="1:15" hidden="1">
      <c r="A144" s="4"/>
      <c r="B144" s="4"/>
      <c r="C144" s="4"/>
      <c r="D144" s="4"/>
      <c r="E144" s="177" t="s">
        <v>424</v>
      </c>
      <c r="F144" s="177"/>
      <c r="G144" s="4"/>
      <c r="H144" s="4"/>
      <c r="I144" s="4"/>
      <c r="J144" s="407"/>
      <c r="O144" s="57"/>
    </row>
    <row r="145" spans="1:15" ht="10.35" hidden="1" customHeight="1">
      <c r="A145" s="4"/>
      <c r="B145" s="4"/>
      <c r="C145" s="4"/>
      <c r="D145" s="4"/>
      <c r="E145" s="177"/>
      <c r="F145" s="177"/>
      <c r="G145" s="4"/>
      <c r="H145" s="4"/>
      <c r="I145" s="4"/>
      <c r="J145" s="407"/>
      <c r="O145" s="57"/>
    </row>
    <row r="146" spans="1:15" hidden="1">
      <c r="A146" s="4"/>
      <c r="B146" s="4"/>
      <c r="C146" s="4"/>
      <c r="D146" s="465" t="str" cm="1">
        <f t="array" ref="D146">IF($K147=0,"",LOWER(ROMAN(MAX(_xlfn.ARABIC(D$133:D144))+1)))</f>
        <v/>
      </c>
      <c r="E146" s="6" t="s">
        <v>1455</v>
      </c>
      <c r="F146" s="195"/>
      <c r="G146" s="4"/>
      <c r="H146" s="4"/>
      <c r="I146" s="4"/>
      <c r="J146" s="407"/>
      <c r="K146" s="572"/>
      <c r="O146" s="57"/>
    </row>
    <row r="147" spans="1:15" ht="17.399999999999999" hidden="1" customHeight="1">
      <c r="A147" s="4"/>
      <c r="B147" s="4"/>
      <c r="C147" s="4"/>
      <c r="D147" s="4"/>
      <c r="E147" s="2021" t="str">
        <f>IF(County="&lt;select one&gt;","Please identify County first.",IF(NOT(ISNA(VLOOKUP(County,DS_NonMetroDDAs_2022,1,FALSE))),"Yes","No"))</f>
        <v>Please identify County first.</v>
      </c>
      <c r="F147" s="2022"/>
      <c r="G147" s="4"/>
      <c r="H147" s="4"/>
      <c r="I147" s="4"/>
      <c r="J147" s="407"/>
      <c r="K147" s="588">
        <v>0</v>
      </c>
      <c r="L147" s="508">
        <f>IF(AND(K147&lt;&gt;0,E147&lt;&gt;"Please identify County first."),K147,0)</f>
        <v>0</v>
      </c>
      <c r="M147" s="509" t="str">
        <f>CHOOSE(K147+1,"Not to be included in this RFA","A REQUIRED input field for this RFA","An OPTIONAL input field for this RFA","In the RFA but not to be tracked as an input field")</f>
        <v>Not to be included in this RFA</v>
      </c>
      <c r="O147" s="57"/>
    </row>
    <row r="148" spans="1:15" hidden="1">
      <c r="A148" s="4"/>
      <c r="B148" s="4"/>
      <c r="C148" s="4"/>
      <c r="D148" s="4"/>
      <c r="E148" s="160" t="s">
        <v>553</v>
      </c>
      <c r="F148" s="193"/>
      <c r="G148" s="4"/>
      <c r="H148" s="4"/>
      <c r="I148" s="4"/>
      <c r="J148" s="407"/>
      <c r="M148" s="575" t="s">
        <v>2148</v>
      </c>
      <c r="O148" s="57"/>
    </row>
    <row r="149" spans="1:15" ht="17.100000000000001" hidden="1" customHeight="1">
      <c r="A149" s="4"/>
      <c r="B149" s="4"/>
      <c r="C149" s="4"/>
      <c r="D149" s="4"/>
      <c r="E149" s="2022" t="str">
        <f>IF(DDA_nonmetro="Yes",County,"")</f>
        <v/>
      </c>
      <c r="F149" s="2022"/>
      <c r="G149" s="2027"/>
      <c r="H149" s="2027"/>
      <c r="I149" s="2027"/>
      <c r="J149" s="407"/>
      <c r="K149" s="42"/>
      <c r="O149" s="57"/>
    </row>
    <row r="150" spans="1:15" ht="10.35" hidden="1" customHeight="1">
      <c r="A150" s="4"/>
      <c r="B150" s="4"/>
      <c r="C150" s="4"/>
      <c r="D150" s="4"/>
      <c r="E150" s="163"/>
      <c r="F150" s="194"/>
      <c r="G150" s="163"/>
      <c r="H150" s="163"/>
      <c r="I150" s="163"/>
      <c r="J150" s="407"/>
      <c r="O150" s="57"/>
    </row>
    <row r="151" spans="1:15" hidden="1">
      <c r="A151" s="4"/>
      <c r="B151" s="4"/>
      <c r="C151" s="4"/>
      <c r="D151" s="179" t="str" cm="1">
        <f t="array" ref="D151">IF($K152=0,"",LOWER(ROMAN(MAX(_xlfn.ARABIC(D$133:D149))+1)))</f>
        <v/>
      </c>
      <c r="E151" s="18" t="str">
        <f>"Is the proposed Development located in a HUD-Designated QCT"&amp;IF(County="&lt;select one&gt;",""," for "&amp;County&amp;" County")&amp;"?"</f>
        <v>Is the proposed Development located in a HUD-Designated QCT?</v>
      </c>
      <c r="F151" s="18"/>
      <c r="G151" s="4"/>
      <c r="H151" s="4"/>
      <c r="I151" s="4"/>
      <c r="J151" s="455"/>
      <c r="O151" s="57"/>
    </row>
    <row r="152" spans="1:15" ht="17.399999999999999" hidden="1" customHeight="1">
      <c r="A152" s="4"/>
      <c r="B152" s="4"/>
      <c r="C152" s="4"/>
      <c r="D152" s="4"/>
      <c r="E152" s="1836" t="s">
        <v>195</v>
      </c>
      <c r="F152" s="1836"/>
      <c r="G152" s="458"/>
      <c r="H152" s="4"/>
      <c r="I152" s="4"/>
      <c r="J152" s="407"/>
      <c r="K152" s="588">
        <v>0</v>
      </c>
      <c r="L152" s="462">
        <f>IF(AND(K152&lt;&gt;0,AND(E152&lt;&gt;"&lt;select from menu&gt;",E152&lt;&gt;"")),K152,0)</f>
        <v>0</v>
      </c>
      <c r="M152" s="463" t="str">
        <f>CHOOSE(K152+1,"Not to be included in this RFA","A REQUIRED input field for this RFA","An OPTIONAL input field for this RFA")</f>
        <v>Not to be included in this RFA</v>
      </c>
      <c r="O152" s="57"/>
    </row>
    <row r="153" spans="1:15" hidden="1">
      <c r="A153" s="4"/>
      <c r="B153" s="4"/>
      <c r="C153" s="4"/>
      <c r="D153" s="4"/>
      <c r="E153" s="160" t="s">
        <v>554</v>
      </c>
      <c r="F153" s="193"/>
      <c r="G153" s="4"/>
      <c r="H153" s="4"/>
      <c r="I153" s="4"/>
      <c r="J153" s="407"/>
      <c r="O153" s="57"/>
    </row>
    <row r="154" spans="1:15" ht="17.399999999999999" hidden="1" customHeight="1">
      <c r="A154" s="4"/>
      <c r="B154" s="4"/>
      <c r="C154" s="4"/>
      <c r="D154" s="4"/>
      <c r="E154" s="2024" t="str">
        <f>IF(AND(QCT="Yes",NOT(ISNA(VLOOKUP(County,DS_Metro_QCT_Counties,1,FALSE)))),"Metro",IF(AND(QCT="Yes",NOT(ISNA(VLOOKUP(County,DS_NonMetro_QCT_Counties,1,FALSE)))),"Non-Metro",IF(AND(QCT="Yes",ISNA(VLOOKUP(County,DS_NonMetro_QCT_Counties,1,FALSE)),ISNA(VLOOKUP(County,DS_Metro_QCT_Counties,1,FALSE))),County&amp;" County does not have a QCT in the Metro or Non-Metro areas.","")))</f>
        <v/>
      </c>
      <c r="F154" s="2024"/>
      <c r="G154" s="2024"/>
      <c r="H154" s="2024"/>
      <c r="I154" s="4"/>
      <c r="J154" s="407"/>
      <c r="O154" s="57"/>
    </row>
    <row r="155" spans="1:15" hidden="1">
      <c r="A155" s="4"/>
      <c r="B155" s="4"/>
      <c r="C155" s="4"/>
      <c r="D155" s="4"/>
      <c r="E155" s="160" t="str">
        <f>"If “Yes”, indicate the HUD-designated QCT census tract number*"&amp;IF(County="&lt;select one&gt;",""," for "&amp;County&amp;" County")&amp;":"</f>
        <v>If “Yes”, indicate the HUD-designated QCT census tract number*:</v>
      </c>
      <c r="F155" s="193"/>
      <c r="G155" s="4"/>
      <c r="H155" s="4"/>
      <c r="I155" s="4"/>
      <c r="J155" s="407"/>
      <c r="K155" s="572"/>
      <c r="O155" s="57"/>
    </row>
    <row r="156" spans="1:15" ht="17.399999999999999" hidden="1" customHeight="1">
      <c r="A156" s="4"/>
      <c r="B156" s="4"/>
      <c r="C156" s="4"/>
      <c r="D156" s="4"/>
      <c r="E156" s="2023"/>
      <c r="F156" s="2023"/>
      <c r="G156" s="2025" t="str">
        <f>IF(AND(QCT="Yes",QCT_metro_or_nonmetro="Metro",NOT(ISNA(VLOOKUP(QCT_number,DS_MetroQCTs_2022,1,FALSE))),NOT(ISNA(VLOOKUP(County,DS_Metro_QCT_Counties,1,FALSE)))),IF(NOT(ISNA(VLOOKUP(QCT_number,DS_CountyQCTs,1)))=QCT_number,"The QCT is in the "&amp;County&amp;" County HUD "&amp;LEFT(Data2!$F$22,4)&amp;" Metro QCT database.","The QCT and "&amp;County&amp;" County are in the HUD "&amp;LEFT(Data2!$F$22,4)&amp;" Metor QCT database, but the QCT is NOT in "&amp;County&amp;" County."),IF(AND(QCT="Yes",QCT_metro_or_nonmetro="Metro",NOT(ISNA(VLOOKUP(QCT_number,DS_MetroQCTs_2022,1,FALSE))),ISNA(VLOOKUP(County,DS_Metro_QCT_Counties,1,FALSE))),"The QCT is in the HUD "&amp;LEFT(Data2!$F$22,4)&amp;" Metro QCT database, but "&amp;County&amp;" County is NOT.",IF(AND(QCT="Yes",QCT_metro_or_nonmetro="Metro",ISNA(VLOOKUP(QCT_number,DS_MetroQCTs_2022,1,FALSE)),NOT(ISNA(VLOOKUP(County,DS_Metro_QCT_Counties,1,FALSE)))),County&amp;" County is in the HUD "&amp;LEFT(Data2!$F$22,4)&amp;" Metro QCT database, but the QCT is NOT.","Neither the QCT nor "&amp;County&amp;" County are in the HUD "&amp;LEFT(Data2!$F$22,4)&amp;" Metro QCT database.")))</f>
        <v>Neither the QCT nor &lt;select one&gt; County are in the HUD 2022 Metro QCT database.</v>
      </c>
      <c r="H156" s="2026"/>
      <c r="I156" s="2026"/>
      <c r="J156" s="457"/>
      <c r="K156" s="1901">
        <f>IF(E152="No",2,K152)</f>
        <v>0</v>
      </c>
      <c r="L156" s="1813">
        <f>IF(AND(K156&lt;&gt;0,E156&lt;&gt;""),K156,0)</f>
        <v>0</v>
      </c>
      <c r="M156" s="1902" t="str">
        <f>CHOOSE(K156+1,"Not to be included in this RFA","A REQUIRED input field for this RFA","An OPTIONAL input field for this RFA")</f>
        <v>Not to be included in this RFA</v>
      </c>
      <c r="O156" s="57"/>
    </row>
    <row r="157" spans="1:15" ht="17.399999999999999" hidden="1" customHeight="1">
      <c r="A157" s="4"/>
      <c r="B157" s="4"/>
      <c r="C157" s="4"/>
      <c r="D157" s="4"/>
      <c r="E157" s="1836"/>
      <c r="F157" s="1836"/>
      <c r="G157" s="2025" t="str">
        <f>IF(AND(QCT="Yes",QCT_metro_or_nonmetro="Non-Metro",NOT(ISNA(VLOOKUP(QCT_number,DS_NonMetroQCTs_2022,1,FALSE))),NOT(ISNA(VLOOKUP(County,DS_NonMetro_QCT_Counties,1,FALSE)))),IF(NOT(ISNA(VLOOKUP(QCT_number,DS_CountyQCTs,1)))=QCT_number,"The QCT is in the "&amp;County&amp;" County HUD "&amp;LEFT(Data2!$F$22,4)&amp;" Non-Metro QCT database.","The QCT and "&amp;County&amp;" County are in the HUD "&amp;LEFT(Data2!$F$22,4)&amp;" Non-Metor QCT database, but the QCT is NOT in "&amp;County&amp;" County."),IF(AND(QCT="Yes",QCT_metro_or_nonmetro="Non-Metro",NOT(ISNA(VLOOKUP(QCT_number,DS_NonMetroQCTs_2022,1,FALSE))),ISNA(VLOOKUP(County,DS_NonMetro_QCT_Counties,1,FALSE))),"The QCT is in the HUD "&amp;LEFT(Data2!$F$22,4)&amp;" Non-Metro QCT database, but "&amp;County&amp;" County is NOT.",IF(AND(QCT="Yes",QCT_metro_or_nonmetro="Non-Metro",ISNA(VLOOKUP(QCT_number,DS_NonMetroQCTs_2022,1,FALSE)),NOT(ISNA(VLOOKUP(County,DS_NonMetro_QCT_Counties,1,FALSE)))),County&amp;" County is in the HUD "&amp;LEFT(Data2!$F$22,4)&amp;" NonMetro QCT database, but the QCT is NOT.","Neither the QCT nor "&amp;County&amp;" County are in the HUD "&amp;LEFT(Data2!$F$22,4)&amp;" Non-Metro QCT database.")))</f>
        <v>Neither the QCT nor &lt;select one&gt; County are in the HUD 2022 Non-Metro QCT database.</v>
      </c>
      <c r="H157" s="2026"/>
      <c r="I157" s="2026"/>
      <c r="J157" s="457"/>
      <c r="K157" s="1901"/>
      <c r="L157" s="1813"/>
      <c r="M157" s="1902"/>
      <c r="O157" s="57"/>
    </row>
    <row r="158" spans="1:15" ht="10.35" hidden="1" customHeight="1">
      <c r="A158" s="4"/>
      <c r="B158" s="4"/>
      <c r="C158" s="4"/>
      <c r="D158" s="4"/>
      <c r="E158" s="163"/>
      <c r="F158" s="194"/>
      <c r="G158" s="163"/>
      <c r="H158" s="163"/>
      <c r="I158" s="163"/>
      <c r="J158" s="407"/>
      <c r="O158" s="57"/>
    </row>
    <row r="159" spans="1:15" hidden="1">
      <c r="A159" s="4"/>
      <c r="B159" s="4"/>
      <c r="C159" s="4"/>
      <c r="D159" s="179" t="str" cm="1">
        <f t="array" ref="D159">IF($K$160=0,"",LOWER(ROMAN(MAX(_xlfn.ARABIC(D$133:D157))+1)))</f>
        <v/>
      </c>
      <c r="E159" s="18" t="s">
        <v>556</v>
      </c>
      <c r="F159" s="18"/>
      <c r="G159" s="457"/>
      <c r="H159" s="4"/>
      <c r="I159" s="457"/>
      <c r="J159" s="457"/>
      <c r="O159" s="57"/>
    </row>
    <row r="160" spans="1:15" ht="17.399999999999999" hidden="1" customHeight="1">
      <c r="A160" s="4"/>
      <c r="B160" s="4"/>
      <c r="C160" s="4"/>
      <c r="D160" s="4"/>
      <c r="E160" s="1836" t="s">
        <v>195</v>
      </c>
      <c r="F160" s="1836"/>
      <c r="G160" s="455"/>
      <c r="H160" s="4"/>
      <c r="I160" s="4"/>
      <c r="J160" s="407"/>
      <c r="K160" s="588">
        <v>0</v>
      </c>
      <c r="L160" s="564">
        <f>IF(AND(K160&lt;&gt;0,AND(E160&lt;&gt;"&lt;select from menu&gt;",E160&lt;&gt;"")),K160,0)</f>
        <v>0</v>
      </c>
      <c r="M160" s="509" t="str">
        <f>CHOOSE(K160+1,"Not to be included in this RFA","A REQUIRED input field for this RFA","An OPTIONAL input field for this RFA")</f>
        <v>Not to be included in this RFA</v>
      </c>
      <c r="O160" s="57"/>
    </row>
    <row r="161" spans="1:16" hidden="1">
      <c r="A161" s="4"/>
      <c r="B161" s="4"/>
      <c r="C161" s="4"/>
      <c r="D161" s="4"/>
      <c r="E161" s="160" t="s">
        <v>557</v>
      </c>
      <c r="F161" s="193"/>
      <c r="G161" s="4"/>
      <c r="H161" s="4"/>
      <c r="I161" s="4"/>
      <c r="J161" s="407"/>
      <c r="O161" s="57"/>
    </row>
    <row r="162" spans="1:16" ht="17.399999999999999" hidden="1" customHeight="1">
      <c r="A162" s="4"/>
      <c r="B162" s="4"/>
      <c r="C162" s="4"/>
      <c r="D162" s="4"/>
      <c r="E162" s="1836"/>
      <c r="F162" s="1836"/>
      <c r="G162" s="2047" t="str">
        <f>IF(AND(Geo_Area_of_Opp_boost="Yes",NOT(ISNA(VLOOKUP(E162,DS_GAOs_effective2.1.21,1,FALSE))),NOT(ISNA(VLOOKUP(County,DS_GAO_Counties,1,FALSE)))),IF(NOT(ISNA(VLOOKUP(E162,DS_CountyGAOs,1)))=E162,"The given Census Tract Number is a GAO Census Tract in "&amp;County&amp;" County.","The given Census Tract Number and "&amp;County&amp;" County are in the GAO listing, but the given Census Tract Number is not a GAO tract in "&amp;County&amp;" County."),IF(AND(Geo_Area_of_Opp_boost="Yes",NOT(ISNA(VLOOKUP(E162,DS_GAOs_effective2.1.21,1,FALSE))),ISNA(VLOOKUP(County,DS_GAO_Counties,1,FALSE))),"The given QCT is in the GAO listing, but "&amp;County&amp;" County is NOT.",IF(AND(Geo_Area_of_Opp_boost="Yes",ISNA(VLOOKUP(E162,DS_GAOs_effective2.1.21,1,FALSE)),NOT(ISNA(VLOOKUP(County,DS_GAO_Counties,1,FALSE)))),County&amp;" County is in the GAO Listing, but the given QCT is NOT.","Neither the given QCT nor "&amp;County&amp;" County are in the GAO listing.")))</f>
        <v>Neither the given QCT nor &lt;select one&gt; County are in the GAO listing.</v>
      </c>
      <c r="H162" s="2048"/>
      <c r="I162" s="2048"/>
      <c r="J162" s="459"/>
      <c r="K162" s="383">
        <f>IF($E160="No",0,IF($E160="Yes",1,$K160))</f>
        <v>0</v>
      </c>
      <c r="L162" s="462">
        <f>IF(AND(K162&lt;&gt;0,E162&lt;&gt;""),K162,0)</f>
        <v>0</v>
      </c>
      <c r="M162" s="463" t="str">
        <f>CHOOSE(K162+1,"Not to be included in this RFA","A REQUIRED input field for this RFA","An OPTIONAL input field for this RFA")</f>
        <v>Not to be included in this RFA</v>
      </c>
      <c r="O162" s="57"/>
    </row>
    <row r="163" spans="1:16" ht="17.399999999999999" hidden="1" customHeight="1">
      <c r="A163" s="4"/>
      <c r="B163" s="4"/>
      <c r="C163" s="4"/>
      <c r="D163" s="4"/>
      <c r="E163" s="2045"/>
      <c r="F163" s="2045"/>
      <c r="G163" s="2047" t="str">
        <f>IF(AND(Geo_Area_of_Opp_boost="Yes",NOT(ISNA(VLOOKUP(E163,DS_GAOs_effective2.1.21,1,FALSE))),NOT(ISNA(VLOOKUP(County,DS_GAO_Counties,1,FALSE)))),IF(NOT(ISNA(VLOOKUP(E163,DS_CountyGAOs,1)))=E163,"The given Census Tract Number is a GAO Census Tract in "&amp;County&amp;" County.","The given Census Tract Number and "&amp;County&amp;" County are in the GAO listing, but the given Census Tract Number is not a GAO tract in "&amp;County&amp;" County."),IF(AND(Geo_Area_of_Opp_boost="Yes",NOT(ISNA(VLOOKUP(E163,DS_GAOs_effective2.1.21,1,FALSE))),ISNA(VLOOKUP(County,DS_GAO_Counties,1,FALSE))),"The given QCT is in the GAO listing, but "&amp;County&amp;" County is NOT.",IF(AND(Geo_Area_of_Opp_boost="Yes",ISNA(VLOOKUP(E163,DS_GAOs_effective2.1.21,1,FALSE)),NOT(ISNA(VLOOKUP(County,DS_GAO_Counties,1,FALSE)))),County&amp;" County is in the GAO Listing, but the given QCT is NOT.","Neither the given QCT nor "&amp;County&amp;" County are in the GAO listing.")))</f>
        <v>Neither the given QCT nor &lt;select one&gt; County are in the GAO listing.</v>
      </c>
      <c r="H163" s="2048"/>
      <c r="I163" s="2048"/>
      <c r="J163" s="407"/>
      <c r="K163" s="383">
        <f>IF($E160="No",0,IF(AND($E160="Yes",$E162&lt;&gt;""),2,$K160))</f>
        <v>0</v>
      </c>
      <c r="L163" s="462">
        <f>IF(AND(K163&lt;&gt;0,E163&lt;&gt;""),K163,0)</f>
        <v>0</v>
      </c>
      <c r="M163" s="463" t="str">
        <f>CHOOSE(K163+1,"Not to be included in this RFA","A REQUIRED input field for this RFA","An OPTIONAL input field for this RFA")</f>
        <v>Not to be included in this RFA</v>
      </c>
      <c r="O163" s="57"/>
    </row>
    <row r="164" spans="1:16" ht="17.399999999999999" hidden="1" customHeight="1">
      <c r="A164" s="4"/>
      <c r="B164" s="4"/>
      <c r="C164" s="4"/>
      <c r="D164" s="58"/>
      <c r="E164" s="2045"/>
      <c r="F164" s="2045"/>
      <c r="G164" s="2047" t="str">
        <f>IF(AND(Geo_Area_of_Opp_boost="Yes",NOT(ISNA(VLOOKUP(E164,DS_GAOs_effective2.1.21,1,FALSE))),NOT(ISNA(VLOOKUP(County,DS_GAO_Counties,1,FALSE)))),IF(NOT(ISNA(VLOOKUP(E164,DS_CountyGAOs,1)))=E164,"The given Census Tract Number is a GAO Census Tract in "&amp;County&amp;" County.","The given Census Tract Number and "&amp;County&amp;" County are in the GAO listing, but the given Census Tract Number is not a GAO tract in "&amp;County&amp;" County."),IF(AND(Geo_Area_of_Opp_boost="Yes",NOT(ISNA(VLOOKUP(E164,DS_GAOs_effective2.1.21,1,FALSE))),ISNA(VLOOKUP(County,DS_GAO_Counties,1,FALSE))),"The given QCT is in the GAO listing, but "&amp;County&amp;" County is NOT.",IF(AND(Geo_Area_of_Opp_boost="Yes",ISNA(VLOOKUP(E164,DS_GAOs_effective2.1.21,1,FALSE)),NOT(ISNA(VLOOKUP(County,DS_GAO_Counties,1,FALSE)))),County&amp;" County is in the GAO Listing, but the given QCT is NOT.","Neither the given QCT nor "&amp;County&amp;" County are in the GAO listing.")))</f>
        <v>Neither the given QCT nor &lt;select one&gt; County are in the GAO listing.</v>
      </c>
      <c r="H164" s="2048"/>
      <c r="I164" s="2048"/>
      <c r="J164" s="407"/>
      <c r="K164" s="383">
        <f>IF($E160="No",0,IF(AND($E160="Yes",$E162&lt;&gt;""),2,$K160))</f>
        <v>0</v>
      </c>
      <c r="L164" s="462">
        <f>IF(AND(K164&lt;&gt;0,E164&lt;&gt;""),K164,0)</f>
        <v>0</v>
      </c>
      <c r="M164" s="463" t="str">
        <f>CHOOSE(K164+1,"Not to be included in this RFA","A REQUIRED input field for this RFA","An OPTIONAL input field for this RFA")</f>
        <v>Not to be included in this RFA</v>
      </c>
      <c r="O164" s="57"/>
    </row>
    <row r="165" spans="1:16" ht="14.4" hidden="1" customHeight="1">
      <c r="A165" s="4"/>
      <c r="B165" s="4"/>
      <c r="C165" s="4"/>
      <c r="D165" s="4"/>
      <c r="E165" s="82" t="s">
        <v>425</v>
      </c>
      <c r="F165" s="82"/>
      <c r="G165" s="4"/>
      <c r="H165" s="4"/>
      <c r="I165" s="4"/>
      <c r="J165" s="407"/>
      <c r="O165" s="57"/>
    </row>
    <row r="166" spans="1:16" ht="14.4" hidden="1" customHeight="1">
      <c r="A166" s="4"/>
      <c r="B166" s="4"/>
      <c r="C166" s="4"/>
      <c r="D166" s="4"/>
      <c r="E166" s="82" t="s">
        <v>426</v>
      </c>
      <c r="F166" s="82"/>
      <c r="G166" s="4"/>
      <c r="H166" s="4"/>
      <c r="I166" s="4"/>
      <c r="J166" s="407"/>
      <c r="O166" s="57"/>
    </row>
    <row r="167" spans="1:16" ht="10.35" hidden="1" customHeight="1">
      <c r="A167" s="4"/>
      <c r="B167" s="4"/>
      <c r="C167" s="4"/>
      <c r="D167" s="58"/>
      <c r="E167" s="4"/>
      <c r="F167" s="4"/>
      <c r="G167" s="4"/>
      <c r="H167" s="4"/>
      <c r="I167" s="4"/>
      <c r="J167" s="407"/>
      <c r="O167" s="57"/>
    </row>
    <row r="168" spans="1:16" ht="14.4" hidden="1" customHeight="1">
      <c r="A168" s="4"/>
      <c r="B168" s="4"/>
      <c r="C168" s="4"/>
      <c r="D168" s="235" t="str" cm="1">
        <f t="array" ref="D168">IF($K169=0,"",LOWER(ROMAN(MAX(_xlfn.ARABIC(D$133:D166))+1)))</f>
        <v/>
      </c>
      <c r="E168" s="6" t="s">
        <v>567</v>
      </c>
      <c r="F168" s="195"/>
      <c r="G168" s="4"/>
      <c r="H168" s="4"/>
      <c r="I168" s="4"/>
      <c r="J168" s="407"/>
      <c r="N168" s="234"/>
      <c r="O168" s="227"/>
      <c r="P168" s="226"/>
    </row>
    <row r="169" spans="1:16" ht="17.399999999999999" hidden="1" customHeight="1">
      <c r="A169" s="4"/>
      <c r="B169" s="4"/>
      <c r="C169" s="4"/>
      <c r="D169" s="58"/>
      <c r="E169" s="1836" t="s">
        <v>195</v>
      </c>
      <c r="F169" s="1836"/>
      <c r="G169" s="4"/>
      <c r="H169" s="4"/>
      <c r="I169" s="4"/>
      <c r="J169" s="407"/>
      <c r="K169" s="588">
        <v>0</v>
      </c>
      <c r="L169" s="462">
        <f>IF(AND(K169&lt;&gt;0,AND(E169&lt;&gt;"&lt;select from menu&gt;",E169&lt;&gt;"")),K169,0)</f>
        <v>0</v>
      </c>
      <c r="M169" s="463" t="str">
        <f>CHOOSE(K169+1,"Not to be included in this RFA","A REQUIRED input field for this RFA","An OPTIONAL input field for this RFA")</f>
        <v>Not to be included in this RFA</v>
      </c>
      <c r="N169" s="226"/>
      <c r="O169" s="227"/>
      <c r="P169" s="226"/>
    </row>
    <row r="170" spans="1:16" ht="10.35" hidden="1" customHeight="1">
      <c r="A170" s="4"/>
      <c r="B170" s="4"/>
      <c r="C170" s="4"/>
      <c r="D170" s="58"/>
      <c r="E170" s="4"/>
      <c r="F170" s="4"/>
      <c r="G170" s="4"/>
      <c r="H170" s="4"/>
      <c r="I170" s="4"/>
      <c r="J170" s="407"/>
      <c r="N170" s="226"/>
      <c r="O170" s="227"/>
      <c r="P170" s="226"/>
    </row>
    <row r="171" spans="1:16" ht="14.4" hidden="1" customHeight="1">
      <c r="A171" s="4"/>
      <c r="B171" s="4"/>
      <c r="C171" s="4"/>
      <c r="D171" s="235" t="str" cm="1">
        <f t="array" ref="D171">IF($K172=0,"",LOWER(ROMAN(MAX(_xlfn.ARABIC(D$133:D169))+1)))</f>
        <v/>
      </c>
      <c r="E171" s="231" t="s">
        <v>787</v>
      </c>
      <c r="F171" s="231"/>
      <c r="G171" s="4"/>
      <c r="H171" s="4"/>
      <c r="I171" s="4"/>
      <c r="J171" s="407"/>
      <c r="N171" s="234"/>
      <c r="O171" s="227"/>
      <c r="P171" s="226"/>
    </row>
    <row r="172" spans="1:16" ht="17.399999999999999" hidden="1" customHeight="1">
      <c r="A172" s="4"/>
      <c r="B172" s="4"/>
      <c r="C172" s="4"/>
      <c r="D172" s="58"/>
      <c r="E172" s="1836" t="s">
        <v>195</v>
      </c>
      <c r="F172" s="1836"/>
      <c r="G172" s="4"/>
      <c r="H172" s="4"/>
      <c r="I172" s="4"/>
      <c r="J172" s="407"/>
      <c r="K172" s="588">
        <v>0</v>
      </c>
      <c r="L172" s="462">
        <f>IF(AND(K172&lt;&gt;0,AND(E172&lt;&gt;"&lt;select from menu&gt;",E172&lt;&gt;"")),K172,0)</f>
        <v>0</v>
      </c>
      <c r="M172" s="463" t="str">
        <f>CHOOSE(K172+1,"Not to be included in this RFA","A REQUIRED input field for this RFA","An OPTIONAL input field for this RFA")</f>
        <v>Not to be included in this RFA</v>
      </c>
      <c r="N172" s="226"/>
      <c r="O172" s="227"/>
      <c r="P172" s="226"/>
    </row>
    <row r="173" spans="1:16" ht="10.35" hidden="1" customHeight="1">
      <c r="A173" s="4"/>
      <c r="B173" s="4"/>
      <c r="C173" s="4"/>
      <c r="D173" s="58"/>
      <c r="E173" s="4"/>
      <c r="F173" s="4"/>
      <c r="G173" s="4"/>
      <c r="H173" s="4"/>
      <c r="I173" s="4"/>
      <c r="J173" s="407"/>
      <c r="O173" s="57"/>
    </row>
    <row r="174" spans="1:16" ht="14.4" hidden="1" customHeight="1">
      <c r="A174" s="4"/>
      <c r="B174" s="4"/>
      <c r="C174" s="4"/>
      <c r="D174" s="235" t="str" cm="1">
        <f t="array" ref="D174">IF($K175=0,"",LOWER(ROMAN(MAX(_xlfn.ARABIC(D$133:D172))+1)))</f>
        <v/>
      </c>
      <c r="E174" s="955" t="s">
        <v>1450</v>
      </c>
      <c r="F174" s="823"/>
      <c r="G174" s="4"/>
      <c r="H174" s="4"/>
      <c r="I174" s="4"/>
      <c r="J174" s="821"/>
      <c r="O174" s="57"/>
    </row>
    <row r="175" spans="1:16" ht="17.399999999999999" hidden="1" customHeight="1">
      <c r="A175" s="4"/>
      <c r="B175" s="4"/>
      <c r="C175" s="4"/>
      <c r="D175" s="58"/>
      <c r="E175" s="1836" t="s">
        <v>1453</v>
      </c>
      <c r="F175" s="1836"/>
      <c r="G175" s="1836"/>
      <c r="H175" s="1567" t="s">
        <v>1929</v>
      </c>
      <c r="I175" s="641"/>
      <c r="J175" s="821"/>
      <c r="K175" s="588">
        <v>0</v>
      </c>
      <c r="L175" s="824">
        <f>IF(AND(K175&lt;&gt;0,AND(E175&lt;&gt;"&lt;select from menu&gt;",E175&lt;&gt;"")),K175,0)</f>
        <v>0</v>
      </c>
      <c r="M175" s="826" t="str">
        <f>CHOOSE(K175+1,"Not to be included in this RFA","A REQUIRED input field for this RFA","An OPTIONAL input field for this RFA")</f>
        <v>Not to be included in this RFA</v>
      </c>
      <c r="O175" s="57"/>
    </row>
    <row r="176" spans="1:16" ht="10.35" hidden="1" customHeight="1">
      <c r="A176" s="4"/>
      <c r="B176" s="4"/>
      <c r="C176" s="4"/>
      <c r="D176" s="58"/>
      <c r="E176" s="4"/>
      <c r="F176" s="4"/>
      <c r="G176" s="4"/>
      <c r="H176" s="4"/>
      <c r="I176" s="4"/>
      <c r="J176" s="821"/>
      <c r="O176" s="57"/>
    </row>
    <row r="177" spans="1:15" hidden="1">
      <c r="A177" s="4"/>
      <c r="B177" s="4"/>
      <c r="C177" s="181" t="str" cm="1">
        <f t="array" ref="C177">IF($K$130=0,"-",IFERROR(CHAR(CODE(LOOKUP(2,1/(COUNTIF(C$109:C176,"&gt;"&amp;C$109:C176&amp;"*")=0),C$109:C176))+1),"b"))</f>
        <v>-</v>
      </c>
      <c r="D177" s="6" t="s">
        <v>558</v>
      </c>
      <c r="E177" s="4"/>
      <c r="F177" s="4"/>
      <c r="G177" s="4"/>
      <c r="H177" s="4"/>
      <c r="I177" s="4"/>
      <c r="J177" s="407"/>
      <c r="O177" s="57"/>
    </row>
    <row r="178" spans="1:15" ht="30" hidden="1" customHeight="1">
      <c r="A178" s="4"/>
      <c r="B178" s="4"/>
      <c r="C178" s="4"/>
      <c r="D178" s="4"/>
      <c r="E178" s="1829" t="s">
        <v>427</v>
      </c>
      <c r="F178" s="1829"/>
      <c r="G178" s="1829"/>
      <c r="H178" s="1829"/>
      <c r="I178" s="1829"/>
      <c r="J178" s="407"/>
      <c r="O178" s="57"/>
    </row>
    <row r="179" spans="1:15" ht="17.399999999999999" hidden="1" customHeight="1">
      <c r="A179" s="4"/>
      <c r="B179" s="4"/>
      <c r="C179" s="4"/>
      <c r="D179" s="4"/>
      <c r="E179" s="1836" t="s">
        <v>195</v>
      </c>
      <c r="F179" s="1836"/>
      <c r="G179" s="2027" t="str">
        <f>IF(AND(E179="Yes",'General Information'!F10="Family"),"","Invalid Entry - only applicants who select the Family demographic are eligible for this funding goal")</f>
        <v>Invalid Entry - only applicants who select the Family demographic are eligible for this funding goal</v>
      </c>
      <c r="H179" s="2027"/>
      <c r="I179" s="2027"/>
      <c r="J179" s="407"/>
      <c r="K179" s="588">
        <v>0</v>
      </c>
      <c r="L179" s="462">
        <f>IF(AND(K179&lt;&gt;0,AND(E179&lt;&gt;"&lt;select from menu&gt;",E179&lt;&gt;"")),K179,0)</f>
        <v>0</v>
      </c>
      <c r="M179" s="463" t="str">
        <f>CHOOSE(K179+1,"Not to be included in this RFA","A REQUIRED input field for this RFA","An OPTIONAL input field for this RFA")</f>
        <v>Not to be included in this RFA</v>
      </c>
      <c r="O179" s="57"/>
    </row>
    <row r="180" spans="1:15" ht="30" hidden="1" customHeight="1">
      <c r="A180" s="4"/>
      <c r="B180" s="4"/>
      <c r="C180" s="4"/>
      <c r="D180" s="4"/>
      <c r="E180" s="1829" t="s">
        <v>428</v>
      </c>
      <c r="F180" s="1829"/>
      <c r="G180" s="1829"/>
      <c r="H180" s="1829"/>
      <c r="I180" s="1829"/>
      <c r="J180" s="406"/>
      <c r="O180" s="57"/>
    </row>
    <row r="181" spans="1:15" ht="17.399999999999999" hidden="1" customHeight="1">
      <c r="A181" s="4"/>
      <c r="B181" s="4"/>
      <c r="C181" s="4"/>
      <c r="D181" s="4"/>
      <c r="E181" s="1836" t="s">
        <v>195</v>
      </c>
      <c r="F181" s="1836"/>
      <c r="G181" s="2027" t="str">
        <f>IF(AND(E179="yes",E181="&lt;select from menu&gt;"),"Please indicate which of the criteria has been met","")</f>
        <v/>
      </c>
      <c r="H181" s="2027"/>
      <c r="I181" s="2027"/>
      <c r="J181" s="407"/>
      <c r="K181" s="383">
        <f>IF(E179="No",2,K179)</f>
        <v>0</v>
      </c>
      <c r="L181" s="462">
        <f>IF(AND(K181&lt;&gt;0,AND(E181&lt;&gt;"&lt;select from menu&gt;",E181&lt;&gt;"")),K181,0)</f>
        <v>0</v>
      </c>
      <c r="M181" s="463" t="str">
        <f>CHOOSE(K181+1,"Not to be included in this RFA","A REQUIRED input field for this RFA","An OPTIONAL input field for this RFA")</f>
        <v>Not to be included in this RFA</v>
      </c>
    </row>
    <row r="182" spans="1:15" ht="10.35" hidden="1" customHeight="1">
      <c r="A182" s="4"/>
      <c r="B182" s="4"/>
      <c r="C182" s="4"/>
      <c r="D182" s="4"/>
      <c r="E182" s="59"/>
      <c r="F182" s="59"/>
      <c r="G182" s="4"/>
      <c r="H182" s="4"/>
      <c r="I182" s="4"/>
      <c r="J182" s="407"/>
      <c r="K182" s="663"/>
    </row>
    <row r="183" spans="1:15" hidden="1">
      <c r="A183" s="4"/>
      <c r="B183" s="4"/>
      <c r="C183" s="181" t="str" cm="1">
        <f t="array" ref="C183">IF($K$130=0,"-",IFERROR(CHAR(CODE(LOOKUP(2,1/(COUNTIF(C$109:C182,"&gt;"&amp;C$109:C182&amp;"*")=0),C$109:C182))+1),"b"))</f>
        <v>-</v>
      </c>
      <c r="D183" s="6" t="s">
        <v>555</v>
      </c>
      <c r="E183" s="59"/>
      <c r="F183" s="59"/>
      <c r="G183" s="4"/>
      <c r="H183" s="4"/>
      <c r="I183" s="4"/>
      <c r="J183" s="407"/>
    </row>
    <row r="184" spans="1:15" ht="10.35" hidden="1" customHeight="1">
      <c r="A184" s="4"/>
      <c r="B184" s="4"/>
      <c r="C184" s="4"/>
      <c r="D184" s="4"/>
      <c r="E184" s="59"/>
      <c r="F184" s="59"/>
      <c r="G184" s="4"/>
      <c r="H184" s="4"/>
      <c r="I184" s="4"/>
      <c r="J184" s="407"/>
    </row>
    <row r="185" spans="1:15" ht="17.399999999999999" hidden="1" customHeight="1">
      <c r="A185" s="4"/>
      <c r="B185" s="180" t="str">
        <f>IF(OR($K$127=0,$K185=0),"",MAX(B$4:B184)+1)</f>
        <v/>
      </c>
      <c r="C185" s="6" t="s">
        <v>561</v>
      </c>
      <c r="D185" s="4"/>
      <c r="E185" s="59"/>
      <c r="F185" s="59"/>
      <c r="G185" s="4"/>
      <c r="H185" s="4"/>
      <c r="I185" s="1620"/>
      <c r="J185" s="170" t="str">
        <f>IF(AND(K185=1,MMRB_Request_Amount&lt;&gt;ConstrAnalysis__1st_Mtg,ConstrAnalysis__1st_Type="FHFC - MMRB"),"**","")</f>
        <v/>
      </c>
      <c r="K185" s="588">
        <v>0</v>
      </c>
      <c r="L185" s="462">
        <f>IF(AND(K185&lt;&gt;0,I185&lt;&gt;""),K185,0)</f>
        <v>0</v>
      </c>
      <c r="M185" s="463" t="str">
        <f>CHOOSE(K185+1,"Not to be included in this RFA","A REQUIRED input field for this RFA","An OPTIONAL input field for this RFA")</f>
        <v>Not to be included in this RFA</v>
      </c>
    </row>
    <row r="186" spans="1:15" ht="14.4" hidden="1" customHeight="1">
      <c r="A186" s="4"/>
      <c r="B186" s="180"/>
      <c r="C186" s="1052"/>
      <c r="D186" s="4"/>
      <c r="E186" s="2046" t="s">
        <v>1543</v>
      </c>
      <c r="F186" s="2046"/>
      <c r="G186" s="2046"/>
      <c r="H186" s="2046"/>
      <c r="I186" s="2046"/>
      <c r="J186" s="1050"/>
      <c r="L186"/>
      <c r="M186"/>
    </row>
    <row r="187" spans="1:15" ht="14.4" hidden="1" customHeight="1">
      <c r="A187" s="4"/>
      <c r="B187" s="180"/>
      <c r="C187" s="1052"/>
      <c r="D187" s="4"/>
      <c r="E187" s="2046"/>
      <c r="F187" s="2046"/>
      <c r="G187" s="2046"/>
      <c r="H187" s="2046"/>
      <c r="I187" s="2046"/>
      <c r="J187" s="1050"/>
      <c r="L187"/>
      <c r="M187"/>
    </row>
    <row r="188" spans="1:15" ht="10.35" hidden="1" customHeight="1">
      <c r="A188" s="4"/>
      <c r="B188" s="558"/>
      <c r="C188" s="4"/>
      <c r="D188" s="4"/>
      <c r="E188" s="59"/>
      <c r="F188" s="59"/>
      <c r="G188" s="4"/>
      <c r="H188" s="4"/>
      <c r="I188" s="4"/>
      <c r="J188" s="407"/>
    </row>
    <row r="189" spans="1:15" ht="14.4" hidden="1" customHeight="1">
      <c r="A189" s="4"/>
      <c r="B189" s="558"/>
      <c r="C189" s="1848" t="s">
        <v>562</v>
      </c>
      <c r="D189" s="1848"/>
      <c r="E189" s="1848"/>
      <c r="F189" s="1848"/>
      <c r="G189" s="1848"/>
      <c r="H189" s="1848"/>
      <c r="I189" s="1848"/>
      <c r="J189" s="407"/>
    </row>
    <row r="190" spans="1:15" ht="14.4" hidden="1" customHeight="1">
      <c r="A190" s="4"/>
      <c r="B190" s="558"/>
      <c r="C190" s="1848"/>
      <c r="D190" s="1848"/>
      <c r="E190" s="1848"/>
      <c r="F190" s="1848"/>
      <c r="G190" s="1848"/>
      <c r="H190" s="1848"/>
      <c r="I190" s="1848"/>
      <c r="J190" s="407"/>
    </row>
    <row r="191" spans="1:15" ht="10.35" hidden="1" customHeight="1">
      <c r="A191" s="4"/>
      <c r="B191" s="558"/>
      <c r="C191" s="4"/>
      <c r="D191" s="4"/>
      <c r="E191" s="59"/>
      <c r="F191" s="59"/>
      <c r="G191" s="4"/>
      <c r="H191" s="4"/>
      <c r="I191" s="4"/>
      <c r="J191" s="407"/>
    </row>
    <row r="192" spans="1:15">
      <c r="A192" s="4"/>
      <c r="B192" s="180">
        <f>IF($M$192=0,"",MAX(B$4:B191)+1)</f>
        <v>4</v>
      </c>
      <c r="C192" s="1839" t="s">
        <v>429</v>
      </c>
      <c r="D192" s="1839"/>
      <c r="E192" s="1839"/>
      <c r="F192" s="1839"/>
      <c r="G192" s="1839"/>
      <c r="H192" s="1839"/>
      <c r="I192" s="1839"/>
      <c r="J192" s="407"/>
      <c r="M192" s="1223">
        <v>1</v>
      </c>
    </row>
    <row r="193" spans="1:14" ht="10.35" customHeight="1">
      <c r="A193" s="4"/>
      <c r="B193" s="133"/>
      <c r="C193" s="160"/>
      <c r="D193" s="160"/>
      <c r="E193" s="160"/>
      <c r="F193" s="193"/>
      <c r="G193" s="160"/>
      <c r="H193" s="160"/>
      <c r="I193" s="160"/>
      <c r="J193" s="407"/>
    </row>
    <row r="194" spans="1:14" ht="14.4" customHeight="1">
      <c r="A194" s="4"/>
      <c r="B194" s="4"/>
      <c r="C194" s="181" t="str">
        <f>IF($M$192=0,"-","a")</f>
        <v>a</v>
      </c>
      <c r="D194" s="1829" t="s">
        <v>430</v>
      </c>
      <c r="E194" s="1829"/>
      <c r="F194" s="1829"/>
      <c r="G194" s="1829"/>
      <c r="H194" s="1829"/>
      <c r="I194" s="1829"/>
      <c r="J194" s="407"/>
    </row>
    <row r="195" spans="1:14" ht="10.35" customHeight="1">
      <c r="A195" s="4"/>
      <c r="B195" s="4"/>
      <c r="C195" s="4"/>
      <c r="D195" s="4"/>
      <c r="E195" s="59"/>
      <c r="F195" s="59"/>
      <c r="G195" s="4"/>
      <c r="H195" s="4"/>
      <c r="I195" s="4"/>
      <c r="J195" s="407"/>
    </row>
    <row r="196" spans="1:14" ht="17.399999999999999" customHeight="1">
      <c r="A196" s="4"/>
      <c r="B196" s="4"/>
      <c r="C196" s="4"/>
      <c r="E196" s="178" t="s">
        <v>431</v>
      </c>
      <c r="F196" s="178"/>
      <c r="G196" s="1621"/>
      <c r="H196" s="61"/>
      <c r="I196" s="4"/>
      <c r="J196" s="453"/>
      <c r="K196" s="383" cm="1">
        <f t="array" aca="1" ref="K196" ca="1">IF($M$192=0,0,IF(CELL("type",G197)="b",2,1))</f>
        <v>2</v>
      </c>
      <c r="L196" s="462">
        <f ca="1">IF(AND(K196&lt;&gt;0,G196&lt;&gt;""),K196,0)</f>
        <v>0</v>
      </c>
      <c r="M196" s="463" t="str">
        <f ca="1">CHOOSE(K196+1,"Not to be included in this RFA","A REQUIRED input field for this RFA","An OPTIONAL input field for this RFA")</f>
        <v>An OPTIONAL input field for this RFA</v>
      </c>
    </row>
    <row r="197" spans="1:14" ht="17.399999999999999" customHeight="1">
      <c r="A197" s="4"/>
      <c r="B197" s="4"/>
      <c r="C197" s="4"/>
      <c r="E197" s="178" t="s">
        <v>432</v>
      </c>
      <c r="F197" s="178"/>
      <c r="G197" s="1622"/>
      <c r="H197" s="62"/>
      <c r="I197" s="4"/>
      <c r="J197" s="407"/>
      <c r="K197" s="383" cm="1">
        <f t="array" aca="1" ref="K197" ca="1">IF($M$192=0,0,IF(CELL("type",G196)="b",2,1))</f>
        <v>2</v>
      </c>
      <c r="L197" s="462">
        <f ca="1">IF(AND(K197&lt;&gt;0,G197&lt;&gt;""),K197,0)</f>
        <v>0</v>
      </c>
      <c r="M197" s="463" t="str">
        <f ca="1">CHOOSE(K197+1,"Not to be included in this RFA","A REQUIRED input field for this RFA","An OPTIONAL input field for this RFA")</f>
        <v>An OPTIONAL input field for this RFA</v>
      </c>
    </row>
    <row r="198" spans="1:14" ht="10.35" customHeight="1">
      <c r="A198" s="4"/>
      <c r="B198" s="4"/>
      <c r="C198" s="4"/>
      <c r="D198" s="4"/>
      <c r="E198" s="59"/>
      <c r="F198" s="59"/>
      <c r="G198" s="4"/>
      <c r="H198" s="4"/>
      <c r="I198" s="4"/>
      <c r="J198" s="407"/>
    </row>
    <row r="199" spans="1:14" ht="30" hidden="1" customHeight="1">
      <c r="A199" s="4"/>
      <c r="B199" s="4"/>
      <c r="C199" s="181" t="str" cm="1">
        <f t="array" ref="C199">IFERROR(CHAR(CODE(LOOKUP(2,1/(COUNTIF(C$194:C198,"&gt;"&amp;C$194:C198&amp;"*")=0),C$194:C198))+1),"a")</f>
        <v>b</v>
      </c>
      <c r="D199" s="1829" t="s">
        <v>433</v>
      </c>
      <c r="E199" s="1829"/>
      <c r="F199" s="1829"/>
      <c r="G199" s="1829"/>
      <c r="H199" s="1829"/>
      <c r="I199" s="1829"/>
      <c r="J199" s="406"/>
      <c r="M199" s="1223">
        <v>0</v>
      </c>
    </row>
    <row r="200" spans="1:14" ht="10.35" hidden="1" customHeight="1">
      <c r="A200" s="4"/>
      <c r="B200" s="4"/>
      <c r="C200" s="4"/>
      <c r="D200" s="4"/>
      <c r="E200" s="59"/>
      <c r="F200" s="59"/>
      <c r="G200" s="4"/>
      <c r="H200" s="4"/>
      <c r="I200" s="4"/>
      <c r="J200" s="407"/>
    </row>
    <row r="201" spans="1:14" ht="15.6" hidden="1" customHeight="1">
      <c r="A201" s="4"/>
      <c r="B201" s="4"/>
      <c r="C201" s="4"/>
      <c r="D201" s="4"/>
      <c r="E201" s="2041" t="s">
        <v>434</v>
      </c>
      <c r="F201" s="2042"/>
      <c r="G201" s="63" t="s">
        <v>435</v>
      </c>
      <c r="H201" s="63" t="s">
        <v>436</v>
      </c>
      <c r="I201" s="4"/>
      <c r="J201" s="453"/>
      <c r="K201" s="629" t="s">
        <v>1183</v>
      </c>
    </row>
    <row r="202" spans="1:14" ht="17.399999999999999" hidden="1" customHeight="1">
      <c r="A202" s="4"/>
      <c r="B202" s="4"/>
      <c r="C202" s="4"/>
      <c r="D202" s="4"/>
      <c r="E202" s="2043" t="s">
        <v>437</v>
      </c>
      <c r="F202" s="2044"/>
      <c r="G202" s="1623"/>
      <c r="H202" s="1625"/>
      <c r="I202" s="4"/>
      <c r="J202" s="407"/>
      <c r="K202" s="588">
        <f>IF(M$199=0,0,2)</f>
        <v>0</v>
      </c>
      <c r="L202" s="462">
        <f>IF(AND(K202&lt;&gt;0,G202&lt;&gt;""),K202,0)</f>
        <v>0</v>
      </c>
      <c r="M202" s="463" t="str">
        <f>CHOOSE(K202+1,"Not to be included in this RFA","A REQUIRED input field for this RFA","An OPTIONAL input field for this RFA")</f>
        <v>Not to be included in this RFA</v>
      </c>
    </row>
    <row r="203" spans="1:14" ht="17.399999999999999" hidden="1" customHeight="1">
      <c r="A203" s="4"/>
      <c r="B203" s="4"/>
      <c r="C203" s="4"/>
      <c r="D203" s="4"/>
      <c r="E203" s="2043" t="s">
        <v>438</v>
      </c>
      <c r="F203" s="2044"/>
      <c r="G203" s="1624"/>
      <c r="H203" s="1626"/>
      <c r="I203" s="4"/>
      <c r="J203" s="407"/>
      <c r="K203" s="588">
        <f>IF(M$199=0,0,2)</f>
        <v>0</v>
      </c>
      <c r="L203" s="462">
        <f>IF(AND(K203&lt;&gt;0,G203&lt;&gt;""),K203,0)</f>
        <v>0</v>
      </c>
      <c r="M203" s="463" t="str">
        <f>CHOOSE(K203+1,"Not to be included in this RFA","A REQUIRED input field for this RFA","An OPTIONAL input field for this RFA")</f>
        <v>Not to be included in this RFA</v>
      </c>
    </row>
    <row r="204" spans="1:14" ht="17.399999999999999" hidden="1" customHeight="1">
      <c r="A204" s="4"/>
      <c r="B204" s="4"/>
      <c r="C204" s="4"/>
      <c r="D204" s="4"/>
      <c r="E204" s="2043" t="s">
        <v>439</v>
      </c>
      <c r="F204" s="2044"/>
      <c r="G204" s="1624"/>
      <c r="H204" s="1626"/>
      <c r="I204" s="4"/>
      <c r="J204" s="407"/>
      <c r="K204" s="588">
        <f>IF(M$199=0,0,2)</f>
        <v>0</v>
      </c>
      <c r="L204" s="462">
        <f>IF(AND(K204&lt;&gt;0,G204&lt;&gt;""),K204,0)</f>
        <v>0</v>
      </c>
      <c r="M204" s="463" t="str">
        <f>CHOOSE(K204+1,"Not to be included in this RFA","A REQUIRED input field for this RFA","An OPTIONAL input field for this RFA")</f>
        <v>Not to be included in this RFA</v>
      </c>
    </row>
    <row r="205" spans="1:14" ht="17.399999999999999" hidden="1" customHeight="1">
      <c r="A205" s="4"/>
      <c r="B205" s="4"/>
      <c r="C205" s="4"/>
      <c r="D205" s="4"/>
      <c r="E205" s="2043" t="s">
        <v>440</v>
      </c>
      <c r="F205" s="2044"/>
      <c r="G205" s="1624"/>
      <c r="H205" s="1626"/>
      <c r="I205" s="4"/>
      <c r="J205" s="407"/>
      <c r="K205" s="588">
        <f>IF(M$199=0,0,2)</f>
        <v>0</v>
      </c>
      <c r="L205" s="462">
        <f>IF(AND(K205&lt;&gt;0,G205&lt;&gt;""),K205,0)</f>
        <v>0</v>
      </c>
      <c r="M205" s="463" t="str">
        <f>CHOOSE(K205+1,"Not to be included in this RFA","A REQUIRED input field for this RFA","An OPTIONAL input field for this RFA")</f>
        <v>Not to be included in this RFA</v>
      </c>
    </row>
    <row r="206" spans="1:14" ht="10.35" hidden="1" customHeight="1">
      <c r="A206" s="4"/>
      <c r="B206" s="4"/>
      <c r="C206" s="4"/>
      <c r="D206" s="4"/>
      <c r="E206" s="60"/>
      <c r="F206" s="60"/>
      <c r="G206" s="59"/>
      <c r="H206" s="59"/>
      <c r="I206" s="4"/>
      <c r="J206" s="407"/>
    </row>
    <row r="207" spans="1:14" ht="14.4" customHeight="1">
      <c r="A207" s="182" t="str" cm="1">
        <f t="array" ref="A207">CHAR(CODE(LOOKUP(2,1/(COUNTIF(A$3:A206,"&gt;"&amp;A$3:A206&amp;"*")=0),A$3:A206))+1)</f>
        <v>b</v>
      </c>
      <c r="B207" s="1967" t="s">
        <v>441</v>
      </c>
      <c r="C207" s="1967"/>
      <c r="D207" s="1967"/>
      <c r="E207" s="1967"/>
      <c r="F207" s="1967"/>
      <c r="G207" s="1967"/>
      <c r="H207" s="1967"/>
      <c r="I207" s="1967"/>
      <c r="J207" s="407"/>
    </row>
    <row r="208" spans="1:14" ht="44.1" hidden="1" customHeight="1">
      <c r="A208" s="4"/>
      <c r="B208" s="180" t="str">
        <f>IF($K$209+$K$210=0,"",1)</f>
        <v/>
      </c>
      <c r="C208" s="1952" t="s">
        <v>2149</v>
      </c>
      <c r="D208" s="1952"/>
      <c r="E208" s="1952"/>
      <c r="F208" s="1952"/>
      <c r="G208" s="1952"/>
      <c r="H208" s="1952"/>
      <c r="I208" s="1952"/>
      <c r="J208" s="406"/>
      <c r="M208" s="665">
        <v>0</v>
      </c>
      <c r="N208" s="571"/>
    </row>
    <row r="209" spans="1:13" ht="17.399999999999999" hidden="1" customHeight="1">
      <c r="A209" s="4"/>
      <c r="B209" s="3"/>
      <c r="C209" s="1415"/>
      <c r="D209" s="1448"/>
      <c r="E209" s="2012" t="s">
        <v>568</v>
      </c>
      <c r="F209" s="2012"/>
      <c r="G209" s="2012"/>
      <c r="H209" s="59"/>
      <c r="I209" s="4"/>
      <c r="K209" s="627">
        <f>IF(M$208=0,0,IF(Data1!B481=TRUE,2,1))</f>
        <v>0</v>
      </c>
      <c r="L209" s="462">
        <f>IF(AND(K209&lt;&gt;0,Data1!B480=TRUE),K209,0)</f>
        <v>0</v>
      </c>
      <c r="M209" s="463" t="str">
        <f>CHOOSE(K209+1,"Not to be included in this RFA","A REQUIRED input field for this RFA","An OPTIONAL input field for this RFA")</f>
        <v>Not to be included in this RFA</v>
      </c>
    </row>
    <row r="210" spans="1:13" ht="17.399999999999999" hidden="1" customHeight="1">
      <c r="A210" s="4"/>
      <c r="B210" s="3"/>
      <c r="C210" s="1415"/>
      <c r="D210" s="1448"/>
      <c r="E210" s="2012" t="s">
        <v>569</v>
      </c>
      <c r="F210" s="2012"/>
      <c r="G210" s="2012"/>
      <c r="H210" s="59"/>
      <c r="I210" s="4"/>
      <c r="K210" s="627">
        <f>IF(M$208=0,0,IF(Data1!B480=TRUE,2,1))</f>
        <v>0</v>
      </c>
      <c r="L210" s="462">
        <f>IF(AND(K210&lt;&gt;0,Data1!B481=TRUE),K210,0)</f>
        <v>0</v>
      </c>
      <c r="M210" s="463" t="str">
        <f>CHOOSE(K210+1,"Not to be included in this RFA","A REQUIRED input field for this RFA","An OPTIONAL input field for this RFA")</f>
        <v>Not to be included in this RFA</v>
      </c>
    </row>
    <row r="211" spans="1:13" ht="10.35" hidden="1" customHeight="1">
      <c r="A211" s="4"/>
      <c r="B211" s="4"/>
      <c r="C211" s="4"/>
      <c r="D211" s="4"/>
      <c r="E211" s="60"/>
      <c r="F211" s="60"/>
      <c r="G211" s="59"/>
      <c r="H211" s="59"/>
      <c r="I211" s="4"/>
      <c r="J211" s="407"/>
    </row>
    <row r="212" spans="1:13" ht="14.4" customHeight="1">
      <c r="A212" s="4"/>
      <c r="B212" s="180">
        <f>MAX(B$208:B211)+1</f>
        <v>1</v>
      </c>
      <c r="C212" s="1839" t="s">
        <v>442</v>
      </c>
      <c r="D212" s="1839"/>
      <c r="E212" s="1839"/>
      <c r="F212" s="1839"/>
      <c r="G212" s="1839"/>
      <c r="H212" s="1839"/>
      <c r="I212" s="1839"/>
      <c r="J212" s="407"/>
    </row>
    <row r="213" spans="1:13" ht="14.4" customHeight="1">
      <c r="A213" s="4"/>
      <c r="B213" s="4"/>
      <c r="C213" s="4"/>
      <c r="D213" s="1848" t="s">
        <v>443</v>
      </c>
      <c r="E213" s="1848"/>
      <c r="F213" s="1848"/>
      <c r="G213" s="1848"/>
      <c r="H213" s="1848"/>
      <c r="I213" s="1848"/>
      <c r="J213" s="406"/>
    </row>
    <row r="214" spans="1:13" ht="10.35" customHeight="1">
      <c r="A214" s="4"/>
      <c r="B214" s="4"/>
      <c r="C214" s="4"/>
      <c r="D214" s="4"/>
      <c r="E214" s="60"/>
      <c r="F214" s="60"/>
      <c r="G214" s="59"/>
      <c r="H214" s="59"/>
      <c r="I214" s="97"/>
      <c r="J214" s="407"/>
    </row>
    <row r="215" spans="1:13" ht="14.4" customHeight="1">
      <c r="A215" s="182" t="str" cm="1">
        <f t="array" ref="A215">IF(M215=0,"",CHAR(CODE(LOOKUP(2,1/(COUNTIF(A$3:A214,"&gt;"&amp;A$3:A214&amp;"*")=0),A$3:A214))+1))</f>
        <v>c</v>
      </c>
      <c r="B215" s="1967" t="s">
        <v>444</v>
      </c>
      <c r="C215" s="1967"/>
      <c r="D215" s="1967"/>
      <c r="E215" s="1967"/>
      <c r="F215" s="1967"/>
      <c r="G215" s="1967"/>
      <c r="H215" s="1967"/>
      <c r="I215" s="1967"/>
      <c r="J215" s="407"/>
      <c r="K215"/>
      <c r="L215"/>
      <c r="M215" s="1223">
        <v>1</v>
      </c>
    </row>
    <row r="216" spans="1:13">
      <c r="A216" s="4"/>
      <c r="B216" s="4" t="s">
        <v>549</v>
      </c>
      <c r="C216" s="4"/>
      <c r="D216" s="4"/>
      <c r="E216" s="4"/>
      <c r="F216" s="4"/>
      <c r="G216" s="4"/>
      <c r="H216" s="4"/>
      <c r="I216" s="4"/>
      <c r="J216" s="407"/>
      <c r="L216" s="4"/>
    </row>
    <row r="217" spans="1:13" ht="10.35" customHeight="1">
      <c r="A217" s="4"/>
      <c r="B217" s="4"/>
      <c r="C217" s="4"/>
      <c r="D217" s="4"/>
      <c r="E217" s="4"/>
      <c r="F217" s="4"/>
      <c r="G217" s="4"/>
      <c r="H217" s="4"/>
      <c r="I217" s="4"/>
      <c r="J217" s="407"/>
      <c r="L217" s="4"/>
    </row>
    <row r="218" spans="1:13" ht="14.4" customHeight="1">
      <c r="A218" s="182" t="str" cm="1">
        <f t="array" ref="A218">IF(M218=0,"",CHAR(CODE(LOOKUP(2,1/(COUNTIF(A$3:A217,"&gt;"&amp;A$3:A217&amp;"*")=0),A$3:A217))+1))</f>
        <v>d</v>
      </c>
      <c r="B218" s="1967" t="s">
        <v>1299</v>
      </c>
      <c r="C218" s="1967"/>
      <c r="D218" s="1967"/>
      <c r="E218" s="1967"/>
      <c r="F218" s="1967"/>
      <c r="G218" s="1967"/>
      <c r="H218" s="1967"/>
      <c r="I218" s="1967"/>
      <c r="J218" s="718"/>
      <c r="K218"/>
      <c r="L218"/>
      <c r="M218" s="1223">
        <v>1</v>
      </c>
    </row>
    <row r="219" spans="1:13" ht="10.35" customHeight="1">
      <c r="A219" s="747"/>
      <c r="B219" s="721"/>
      <c r="C219" s="721"/>
      <c r="D219" s="721"/>
      <c r="E219" s="721"/>
      <c r="F219" s="721"/>
      <c r="G219" s="721"/>
      <c r="H219" s="721"/>
      <c r="I219" s="721"/>
      <c r="J219" s="718"/>
      <c r="K219" s="42"/>
      <c r="L219" s="719"/>
      <c r="M219" s="720"/>
    </row>
    <row r="220" spans="1:13" ht="14.4" customHeight="1">
      <c r="A220" s="4"/>
      <c r="B220" s="180">
        <f>IF($M$220=0,"",1)</f>
        <v>1</v>
      </c>
      <c r="C220" s="96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Amounts","Base Award Amount")&amp;"."</f>
        <v>Cash Funding equals at least 3 percent of the Applicant's combined Eligible SAIL and HOME-ARP Request Amounts.</v>
      </c>
      <c r="D220" s="963"/>
      <c r="E220" s="963"/>
      <c r="F220" s="963"/>
      <c r="G220" s="963"/>
      <c r="H220" s="963"/>
      <c r="I220" s="963"/>
      <c r="J220" s="718"/>
      <c r="K220"/>
      <c r="L220"/>
      <c r="M220" s="1223">
        <v>1</v>
      </c>
    </row>
    <row r="221" spans="1:13" ht="10.35" customHeight="1">
      <c r="A221" s="4"/>
      <c r="B221" s="4"/>
      <c r="C221" s="4"/>
      <c r="D221" s="4"/>
      <c r="E221" s="4"/>
      <c r="F221" s="4"/>
      <c r="G221" s="4"/>
      <c r="H221" s="4"/>
      <c r="I221" s="4"/>
      <c r="J221" s="718"/>
      <c r="L221" s="4"/>
    </row>
    <row r="222" spans="1:13" ht="93" customHeight="1">
      <c r="A222" s="4"/>
      <c r="B222" s="4"/>
      <c r="C222" s="1848" t="s">
        <v>1998</v>
      </c>
      <c r="D222" s="1848"/>
      <c r="E222" s="1848"/>
      <c r="F222" s="1848"/>
      <c r="G222" s="1848"/>
      <c r="H222" s="1848"/>
      <c r="I222" s="1848"/>
      <c r="J222" s="718"/>
      <c r="L222" s="4"/>
    </row>
    <row r="223" spans="1:13" ht="10.35" customHeight="1">
      <c r="A223" s="4"/>
      <c r="B223" s="4"/>
      <c r="C223" s="4"/>
      <c r="D223" s="4"/>
      <c r="E223" s="4"/>
      <c r="F223" s="4"/>
      <c r="G223" s="4"/>
      <c r="H223" s="4"/>
      <c r="I223" s="4"/>
      <c r="J223" s="718"/>
      <c r="L223" s="4"/>
    </row>
    <row r="224" spans="1:13" ht="17.399999999999999" customHeight="1">
      <c r="A224" s="4"/>
      <c r="B224" s="4"/>
      <c r="C224" s="741" t="s">
        <v>1300</v>
      </c>
      <c r="D224" s="4"/>
      <c r="E224" s="4"/>
      <c r="F224" s="4"/>
      <c r="G224" s="4"/>
      <c r="H224" s="4"/>
      <c r="I224" s="782">
        <f>IF(SUMIF('Pro Forma'!P318:P342,"Yes",'Pro Forma'!H318:H342)&gt;0,SUMIF('Pro Forma'!P318:P342,"Yes",'Pro Forma'!H318:H342),0)</f>
        <v>0</v>
      </c>
      <c r="J224" s="718"/>
      <c r="L224" s="4"/>
      <c r="M224" s="1549"/>
    </row>
    <row r="225" spans="1:13" ht="17.399999999999999" customHeight="1">
      <c r="A225" s="4"/>
      <c r="B225" s="4"/>
      <c r="C225" s="741" t="str">
        <f>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Amounts","Base Award Amount")&amp;":"</f>
        <v>3 percent of the Applicant's combined Eligible SAIL and HOME-ARP Request Amounts:</v>
      </c>
      <c r="D225" s="4"/>
      <c r="E225" s="4"/>
      <c r="F225" s="4"/>
      <c r="G225" s="4"/>
      <c r="H225" s="4"/>
      <c r="I225" s="749">
        <f>DS_Qualifying_FAFP_Percent*CHOOSE(DS_Qualifying_FAFP_Basis_Code+1,0,SAIL_Request_Amount,SAIL_Request_Amount+Grant_Request_Amount,Grant_Request_Amount,ARP_Request_Amount,SAIL_Request_Amount+ARP_Request_Amount,Grant_Request_Amount)</f>
        <v>0</v>
      </c>
      <c r="J225" s="718"/>
      <c r="L225" s="4"/>
      <c r="M225" s="1549"/>
    </row>
    <row r="226" spans="1:13" ht="17.25" customHeight="1">
      <c r="A226" s="4"/>
      <c r="B226" s="4"/>
      <c r="C226" s="741" t="s">
        <v>1302</v>
      </c>
      <c r="D226" s="4"/>
      <c r="E226" s="4"/>
      <c r="F226" s="4"/>
      <c r="G226" s="4"/>
      <c r="H226" s="4"/>
      <c r="I226" s="750" t="str">
        <f>IF(VALUE(I225)=0,"TBD",IF(VALUE(I224)&gt;=VALUE(I225),"Yes","No"))</f>
        <v>TBD</v>
      </c>
      <c r="J226" s="718"/>
      <c r="L226" s="4"/>
      <c r="M226" s="1549"/>
    </row>
    <row r="227" spans="1:13" ht="10.35" customHeight="1">
      <c r="A227" s="4"/>
      <c r="B227" s="4"/>
      <c r="C227" s="4"/>
      <c r="D227" s="4"/>
      <c r="E227" s="4"/>
      <c r="F227" s="4"/>
      <c r="G227" s="4"/>
      <c r="H227" s="4"/>
      <c r="I227" s="4"/>
      <c r="J227" s="718"/>
      <c r="L227" s="4"/>
    </row>
    <row r="228" spans="1:13" ht="14.4" customHeight="1">
      <c r="A228" s="4"/>
      <c r="B228" s="751">
        <f>IF($K$230=0,"",MAX(B$220:B227)+1)</f>
        <v>2</v>
      </c>
      <c r="C228" s="4" t="s">
        <v>1999</v>
      </c>
      <c r="D228" s="4"/>
      <c r="E228" s="4"/>
      <c r="F228" s="4"/>
      <c r="G228" s="4"/>
      <c r="H228" s="4"/>
      <c r="I228" s="4"/>
      <c r="J228" s="740"/>
    </row>
    <row r="229" spans="1:13" ht="10.35" customHeight="1">
      <c r="A229" s="4"/>
      <c r="B229" s="4"/>
      <c r="C229" s="4"/>
      <c r="D229" s="4"/>
      <c r="E229" s="4"/>
      <c r="F229" s="4"/>
      <c r="G229" s="4"/>
      <c r="H229" s="4"/>
      <c r="I229" s="4"/>
      <c r="J229" s="740"/>
      <c r="L229" s="4"/>
    </row>
    <row r="230" spans="1:13" ht="41.25" customHeight="1">
      <c r="A230" s="4"/>
      <c r="B230" s="4"/>
      <c r="C230" s="1740" t="s">
        <v>1303</v>
      </c>
      <c r="D230" s="1740"/>
      <c r="E230" s="1740"/>
      <c r="F230" s="1740"/>
      <c r="G230" s="1740"/>
      <c r="H230" s="1740"/>
      <c r="I230" s="1619" t="s">
        <v>195</v>
      </c>
      <c r="J230" s="740"/>
      <c r="K230" s="397">
        <v>2</v>
      </c>
      <c r="L230" s="627">
        <f>IF(AND(K230&lt;&gt;0,AND(D228&lt;&gt;"&lt;select from menu&gt;",D228&lt;&gt;"")),K230,0)</f>
        <v>0</v>
      </c>
      <c r="M230" s="740" t="str">
        <f>CHOOSE(K230+1,"Not to be included in this RFA","A REQUIRED RFA item","An OPTIONAL input field for this RFA")</f>
        <v>An OPTIONAL input field for this RFA</v>
      </c>
    </row>
    <row r="231" spans="1:13" ht="10.35" customHeight="1">
      <c r="A231" s="4"/>
      <c r="B231" s="4"/>
      <c r="C231" s="4"/>
      <c r="D231" s="4"/>
      <c r="E231" s="4"/>
      <c r="F231" s="4"/>
      <c r="G231" s="4"/>
      <c r="H231" s="4"/>
      <c r="I231" s="4"/>
      <c r="J231" s="718"/>
      <c r="L231" s="4"/>
    </row>
    <row r="232" spans="1:13" hidden="1">
      <c r="A232" s="182" t="str" cm="1">
        <f t="array" ref="A232">IF(M232=0,"",CHAR(CODE(LOOKUP(2,1/(COUNTIF(A$3:A231,"&gt;"&amp;A$3:A231&amp;"*")=0),A$3:A231))+1))</f>
        <v/>
      </c>
      <c r="B232" s="1819" t="s">
        <v>445</v>
      </c>
      <c r="C232" s="1819"/>
      <c r="D232" s="1819"/>
      <c r="E232" s="1819"/>
      <c r="F232" s="1819"/>
      <c r="G232" s="1819"/>
      <c r="H232" s="1819"/>
      <c r="I232" s="1819"/>
      <c r="J232" s="407"/>
      <c r="K232"/>
      <c r="L232"/>
      <c r="M232" s="1223">
        <v>0</v>
      </c>
    </row>
    <row r="233" spans="1:13" ht="10.35" hidden="1" customHeight="1">
      <c r="A233" s="754"/>
      <c r="B233" s="755"/>
      <c r="C233" s="755"/>
      <c r="D233" s="755"/>
      <c r="E233" s="755"/>
      <c r="F233" s="755"/>
      <c r="G233" s="755"/>
      <c r="H233" s="755"/>
      <c r="I233" s="742"/>
      <c r="J233" s="740"/>
      <c r="K233" s="753"/>
      <c r="L233" s="743"/>
      <c r="M233" s="744"/>
    </row>
    <row r="234" spans="1:13" ht="17.399999999999999" hidden="1" customHeight="1">
      <c r="A234" s="4"/>
      <c r="B234" s="6" t="s">
        <v>446</v>
      </c>
      <c r="C234" s="6"/>
      <c r="D234" s="4"/>
      <c r="E234" s="4"/>
      <c r="F234" s="4"/>
      <c r="G234" s="4"/>
      <c r="H234" s="4"/>
      <c r="I234" s="756" t="str">
        <f>IF(OR(Development_Category="New Construction",Development_Category="Redevelopment",Development_Category="Acquisition and Redevelopment",AND(OR(Development_Category="Rehabilitation",Development_Category="Acquisition and Rehabilitation"),IF(N(Total_Units)=0,FALSE,N(Actual_Constructioncost_total)/N(Total_Units)&gt;=Data1!$F$492))),"Yes",IF(Development_Category="&lt;select one&gt;","Need to select a Development Category",IF(Total_Units=0,"Need an entry for Total Units","No")))</f>
        <v>Yes</v>
      </c>
      <c r="J234" s="407"/>
    </row>
    <row r="235" spans="1:13" ht="10.35" hidden="1" customHeight="1">
      <c r="A235" s="4"/>
      <c r="B235" s="4"/>
      <c r="C235" s="4"/>
      <c r="D235" s="4"/>
      <c r="E235" s="4"/>
      <c r="F235" s="4"/>
      <c r="G235" s="4"/>
      <c r="H235" s="4"/>
      <c r="I235" s="4"/>
      <c r="J235" s="407"/>
    </row>
    <row r="236" spans="1:13">
      <c r="A236" s="182" t="str" cm="1">
        <f t="array" ref="A236">IF(SUM(K240:K244)=0,"",CHAR(CODE(LOOKUP(2,1/(COUNTIF(A$3:A235,"&gt;"&amp;A$3:A235&amp;"*")=0),A$3:A235))+1))</f>
        <v>e</v>
      </c>
      <c r="B236" s="1967" t="s">
        <v>447</v>
      </c>
      <c r="C236" s="1967"/>
      <c r="D236" s="1967"/>
      <c r="E236" s="1967"/>
      <c r="F236" s="1967"/>
      <c r="G236" s="1967"/>
      <c r="H236" s="1967"/>
      <c r="I236" s="1967"/>
      <c r="J236" s="407"/>
    </row>
    <row r="237" spans="1:13" ht="10.35" customHeight="1">
      <c r="A237" s="4"/>
      <c r="B237" s="6"/>
      <c r="C237" s="6"/>
      <c r="D237" s="4"/>
      <c r="E237" s="4"/>
      <c r="F237" s="4"/>
      <c r="G237" s="4"/>
      <c r="H237" s="4"/>
      <c r="I237" s="4"/>
      <c r="J237" s="407"/>
    </row>
    <row r="238" spans="1:13" ht="14.4" customHeight="1">
      <c r="A238" s="4"/>
      <c r="B238" s="180">
        <v>1</v>
      </c>
      <c r="C238" s="1829" t="s">
        <v>448</v>
      </c>
      <c r="D238" s="1829"/>
      <c r="E238" s="1829"/>
      <c r="F238" s="1829"/>
      <c r="G238" s="1829"/>
      <c r="H238" s="1829"/>
      <c r="I238" s="1829"/>
      <c r="J238" s="407"/>
    </row>
    <row r="239" spans="1:13">
      <c r="A239" s="4"/>
      <c r="B239" s="156"/>
      <c r="C239" s="1829"/>
      <c r="D239" s="1829"/>
      <c r="E239" s="1829"/>
      <c r="F239" s="1829"/>
      <c r="G239" s="1829"/>
      <c r="H239" s="1829"/>
      <c r="I239" s="1829"/>
      <c r="J239" s="407"/>
    </row>
    <row r="240" spans="1:13" ht="17.399999999999999" customHeight="1">
      <c r="A240" s="4"/>
      <c r="B240" s="65"/>
      <c r="C240" s="65"/>
      <c r="D240" s="1836" t="s">
        <v>195</v>
      </c>
      <c r="E240" s="1836"/>
      <c r="F240" s="1836"/>
      <c r="G240" s="4"/>
      <c r="H240" s="4"/>
      <c r="I240" s="4"/>
      <c r="J240" s="407"/>
      <c r="K240" s="588">
        <v>2</v>
      </c>
      <c r="L240" s="462">
        <f>IF(AND(K240&lt;&gt;0,AND(D240&lt;&gt;"&lt;select from menu&gt;",D240&lt;&gt;"")),K240,0)</f>
        <v>0</v>
      </c>
      <c r="M240" s="463" t="str">
        <f>CHOOSE(K240+1,"Not to be included in this RFA","A REQUIRED input field for this RFA","An OPTIONAL input field for this RFA")</f>
        <v>An OPTIONAL input field for this RFA</v>
      </c>
    </row>
    <row r="241" spans="1:13" ht="10.35" customHeight="1">
      <c r="A241" s="4"/>
      <c r="B241" s="65"/>
      <c r="C241" s="65"/>
      <c r="D241" s="4"/>
      <c r="E241" s="93"/>
      <c r="F241" s="93"/>
      <c r="G241" s="4"/>
      <c r="H241" s="4"/>
      <c r="I241" s="4"/>
      <c r="J241" s="407"/>
    </row>
    <row r="242" spans="1:13" ht="14.4" customHeight="1">
      <c r="A242" s="4"/>
      <c r="B242" s="180">
        <f>MAX(B$238:B241)+1</f>
        <v>2</v>
      </c>
      <c r="C242" s="1712" t="s">
        <v>449</v>
      </c>
      <c r="D242" s="1712"/>
      <c r="E242" s="1712"/>
      <c r="F242" s="1712"/>
      <c r="G242" s="1712"/>
      <c r="H242" s="1712"/>
      <c r="I242" s="1712"/>
      <c r="J242" s="407"/>
    </row>
    <row r="243" spans="1:13">
      <c r="A243" s="4"/>
      <c r="B243" s="57"/>
      <c r="C243" s="1712"/>
      <c r="D243" s="1712"/>
      <c r="E243" s="1712"/>
      <c r="F243" s="1712"/>
      <c r="G243" s="1712"/>
      <c r="H243" s="1712"/>
      <c r="I243" s="1712"/>
      <c r="J243" s="407"/>
    </row>
    <row r="244" spans="1:13" ht="17.399999999999999" customHeight="1">
      <c r="A244" s="4"/>
      <c r="B244" s="65"/>
      <c r="C244" s="65"/>
      <c r="D244" s="1836" t="s">
        <v>195</v>
      </c>
      <c r="E244" s="1836"/>
      <c r="F244" s="1836"/>
      <c r="I244" s="4"/>
      <c r="J244" s="407"/>
      <c r="K244" s="588">
        <v>2</v>
      </c>
      <c r="L244" s="462">
        <f>IF(AND(K244&lt;&gt;0,AND(D244&lt;&gt;"&lt;select from menu&gt;",D244&lt;&gt;"")),K244,0)</f>
        <v>0</v>
      </c>
      <c r="M244" s="463" t="str">
        <f>CHOOSE(K244+1,"Not to be included in this RFA","A REQUIRED input field for this RFA","An OPTIONAL input field for this RFA")</f>
        <v>An OPTIONAL input field for this RFA</v>
      </c>
    </row>
    <row r="245" spans="1:13" ht="10.35" customHeight="1">
      <c r="A245" s="4"/>
      <c r="B245" s="4"/>
      <c r="C245" s="4"/>
      <c r="D245" s="4"/>
      <c r="E245" s="4"/>
      <c r="F245" s="4"/>
      <c r="G245" s="4"/>
      <c r="H245" s="4"/>
      <c r="I245" s="4"/>
      <c r="J245" s="407"/>
    </row>
    <row r="246" spans="1:13">
      <c r="A246" s="4"/>
      <c r="B246" s="4"/>
      <c r="C246" s="507" t="s">
        <v>1050</v>
      </c>
      <c r="D246" s="4"/>
      <c r="E246" s="4"/>
      <c r="F246" s="4"/>
      <c r="G246" s="4"/>
      <c r="H246" s="4"/>
      <c r="I246" s="4"/>
      <c r="J246" s="504"/>
    </row>
    <row r="247" spans="1:13">
      <c r="A247" s="4"/>
      <c r="B247" s="4"/>
      <c r="C247" s="160" t="s">
        <v>1049</v>
      </c>
      <c r="D247" s="160"/>
      <c r="E247" s="160"/>
      <c r="F247" s="193"/>
      <c r="G247" s="4"/>
      <c r="H247" s="4"/>
      <c r="I247" s="4"/>
      <c r="J247" s="407"/>
    </row>
    <row r="248" spans="1:13" ht="17.399999999999999" customHeight="1">
      <c r="D248" s="2058"/>
      <c r="E248" s="2058"/>
      <c r="F248" s="2058"/>
      <c r="G248" s="2058"/>
      <c r="H248" s="2058"/>
      <c r="I248" s="2058"/>
      <c r="J248" s="407"/>
      <c r="K248" s="588">
        <v>2</v>
      </c>
      <c r="L248" s="462">
        <f>IF(AND(K248&lt;&gt;0,D248&lt;&gt;""),K248,0)</f>
        <v>0</v>
      </c>
      <c r="M248" s="463" t="str">
        <f>CHOOSE(K248+1,"Not to be included in this RFA","A REQUIRED input field for this RFA","An OPTIONAL input field for this RFA")</f>
        <v>An OPTIONAL input field for this RFA</v>
      </c>
    </row>
    <row r="249" spans="1:13" ht="10.35" customHeight="1">
      <c r="J249" s="407"/>
    </row>
    <row r="250" spans="1:13" ht="14.4" hidden="1" customHeight="1">
      <c r="A250" s="752" t="str" cm="1">
        <f t="array" ref="A250">IF(K250=0,"",CHAR(CODE(LOOKUP(2,1/(COUNTIF(A$3:A244,"&gt;"&amp;A$3:A244&amp;"*")=0),A$3:A244))+1))</f>
        <v/>
      </c>
      <c r="B250" s="39" t="s">
        <v>1304</v>
      </c>
      <c r="J250" s="1443"/>
      <c r="K250" s="397">
        <v>0</v>
      </c>
      <c r="L250" s="627">
        <f>IF(AND(K250&lt;&gt;0,D250&lt;&gt;""),K250,0)</f>
        <v>0</v>
      </c>
      <c r="M250" s="740" t="str">
        <f>CHOOSE(K250+1,"Not to be included in this RFA","A REQUIRED input field for this RFA","An OPTIONAL input field for this RFA")</f>
        <v>Not to be included in this RFA</v>
      </c>
    </row>
    <row r="251" spans="1:13" ht="10.35" hidden="1" customHeight="1">
      <c r="J251" s="1443"/>
    </row>
    <row r="252" spans="1:13" ht="17.399999999999999" hidden="1" customHeight="1">
      <c r="B252" s="14" t="s">
        <v>1305</v>
      </c>
      <c r="C252"/>
      <c r="I252" s="1619" t="s">
        <v>195</v>
      </c>
      <c r="J252" s="1443"/>
      <c r="K252" s="42"/>
    </row>
    <row r="253" spans="1:13" ht="10.35" hidden="1" customHeight="1">
      <c r="J253" s="1443"/>
      <c r="K253" s="42"/>
    </row>
    <row r="254" spans="1:13">
      <c r="A254" s="182" t="str" cm="1">
        <f t="array" ref="A254">IF(M254=0,"",CHAR(CODE(LOOKUP(2,1/(COUNTIF(A$3:A253,"&gt;"&amp;A$3:A253&amp;"*")=0),A$3:A253))+1))</f>
        <v>f</v>
      </c>
      <c r="B254" s="174" t="s">
        <v>1142</v>
      </c>
      <c r="C254" s="174"/>
      <c r="D254" s="174"/>
      <c r="E254" s="174"/>
      <c r="F254" s="174"/>
      <c r="G254" s="174"/>
      <c r="H254" s="174"/>
      <c r="I254" s="1469"/>
      <c r="K254" s="42"/>
      <c r="M254" s="1223">
        <v>1</v>
      </c>
    </row>
    <row r="255" spans="1:13" ht="14.4" customHeight="1">
      <c r="B255" s="2057" t="str">
        <f>IF(N279&gt;0,"The Request Amount"&amp;IF(N279&gt;1,"s","")&amp;" for the "&amp;IF(N258&gt;0,"Competitive Housing Credit","")&amp;IF(AND(N258=1,N279&gt;1,SUM(N259:N$277)&gt;1,SUM(N$258:N258)&gt;0),", ",IF(AND(N258=1,N279&gt;1,SUM(N259:N$277)=1,SUM(N$258:N258)&gt;0)," and ",""))&amp;IF(N261&gt;0,"Workforce","")&amp;IF(AND(N261=1,N279&gt;1,SUM(N262:N$277)&gt;1,SUM(N$258:N261)&gt;0),", ",IF(AND(N261=1,N279&gt;1,SUM(N262:N$277)=1,SUM(N$258:N261)&gt;0)," and ",""))&amp;IF(N265&gt;0,"SAIL","")&amp;IF(AND(N265=1,N279&gt;1,SUM(N266:N$277)&gt;1,SUM(N$258:N265)&gt;0),", ",IF(AND(N265=1,N279&gt;1,SUM(N266:N$277)=1,SUM(N$258:N265)&gt;0)," and ",""))&amp;IF(N269&gt;0,"HOME","")&amp;IF(AND(N269=1,N279&gt;1,SUM(N270:N$277)&gt;1,SUM(N$258:N269)&gt;0),", ",IF(AND(N269=1,N279&gt;1,SUM(N270:N$277)=1,SUM(N$258:N269)&gt;0)," and ",""))&amp;IF(N273&gt;0,"HOME-ARP","")&amp;IF(AND(N273=1,N279&gt;1,SUM(N274:N$277)&gt;1,SUM(N$258:N273)&gt;0),", ",IF(AND(N273=1,N279&gt;1,SUM(N274:N$277)=1,SUM(N$258:N273)&gt;0)," and ",""))&amp;IF(N275&gt;0,"Grant","")&amp;IF(AND(N275=1,N279&gt;1,SUM(N276:N$277)&gt;1,SUM(N$258:N275)&gt;0),", ",IF(AND(N275=1,N279&gt;1,SUM(N276:N$277)=1,SUM(N$258:N275)&gt;0),", ",""))&amp;IF(N277&gt;0,"NHTF","")&amp;" source"&amp;IF(N279&gt;1,"s","")&amp;" ha"&amp;IF(N279&gt;1,"ve","s")&amp;" been reduced to the maximum eligible amount"&amp;IF(SUM(N258:N277)&gt;1,"s","")&amp;".","")</f>
        <v/>
      </c>
      <c r="C255" s="2057"/>
      <c r="D255" s="2057"/>
      <c r="E255" s="2057"/>
      <c r="F255" s="2057"/>
      <c r="G255" s="2057"/>
      <c r="H255" s="2057"/>
      <c r="I255" s="2057"/>
    </row>
    <row r="256" spans="1:13" ht="30" customHeight="1">
      <c r="B256" s="2054" t="s">
        <v>1143</v>
      </c>
      <c r="C256" s="2054"/>
      <c r="D256" s="2054"/>
      <c r="E256" s="2054"/>
      <c r="F256" s="2054"/>
      <c r="G256" s="2054"/>
      <c r="H256" s="2054"/>
      <c r="I256" s="2054"/>
    </row>
    <row r="257" spans="2:14" ht="4.95" customHeight="1"/>
    <row r="258" spans="2:14" ht="17.399999999999999" hidden="1" customHeight="1">
      <c r="B258" s="579" t="str">
        <f>IF($M$258=0,"",1)</f>
        <v/>
      </c>
      <c r="C258" s="617" t="s">
        <v>1167</v>
      </c>
      <c r="D258" s="4"/>
      <c r="E258" s="4"/>
      <c r="F258" s="4"/>
      <c r="G258" s="4"/>
      <c r="H258" s="4"/>
      <c r="I258" s="573">
        <f>IF(M258=0,0,1)*MIN(Competitive_HC_Request_Amount,Max_Competitive_HC)</f>
        <v>0</v>
      </c>
      <c r="M258" s="1223">
        <v>0</v>
      </c>
      <c r="N258" s="1468">
        <f>IF(M258=0,0,IF(MIN(N(Competitive_HC_Request_Amount),Max_Competitive_HC)&lt;N(Competitive_HC_Request_Amount),1,0))</f>
        <v>0</v>
      </c>
    </row>
    <row r="259" spans="2:14" ht="17.399999999999999" hidden="1" customHeight="1">
      <c r="B259" s="14"/>
      <c r="C259" s="625" t="str">
        <f>"The Eligible Housing Credit Request Amount is multiplied by "&amp;TEXT(IF($M259=0,1,DS_Lev_MP_HC),"0.0")</f>
        <v>The Eligible Housing Credit Request Amount is multiplied by 1.0</v>
      </c>
      <c r="D259" s="626"/>
      <c r="E259" s="626"/>
      <c r="F259" s="626"/>
      <c r="G259" s="626"/>
      <c r="H259" s="626"/>
      <c r="I259" s="622">
        <f>I258*IF($M259=0,1,DS_Lev_MP_HC)</f>
        <v>0</v>
      </c>
      <c r="M259" s="1223">
        <v>0</v>
      </c>
    </row>
    <row r="260" spans="2:14" ht="10.35" hidden="1" customHeight="1">
      <c r="B260" s="14"/>
      <c r="C260" s="14"/>
      <c r="I260" s="622"/>
      <c r="M260" s="616"/>
    </row>
    <row r="261" spans="2:14" ht="17.399999999999999" hidden="1" customHeight="1">
      <c r="B261" s="1231" t="str">
        <f>IF($M261=0,"",MAX(B$258:B260)+1)</f>
        <v/>
      </c>
      <c r="C261" s="621" t="s">
        <v>1714</v>
      </c>
      <c r="I261" s="574">
        <f>IF(M261=0,0,1)*MIN(Workforce_Request_Amount,Max_Workforce)</f>
        <v>0</v>
      </c>
      <c r="M261" s="1223">
        <v>0</v>
      </c>
      <c r="N261" s="1468">
        <f>IF(M261=0,0,IF(MIN(N(Workforce_Request_Amount),Max_Workforce)&lt;N(Workforce_Request_Amount),1,0))</f>
        <v>0</v>
      </c>
    </row>
    <row r="262" spans="2:14" ht="17.399999999999999" hidden="1" customHeight="1">
      <c r="B262" s="14"/>
      <c r="C262" s="623" t="s">
        <v>1169</v>
      </c>
      <c r="D262" s="933"/>
      <c r="E262" s="933"/>
      <c r="F262" s="933"/>
      <c r="G262" s="933"/>
      <c r="H262" s="933"/>
      <c r="I262" s="1234" t="str">
        <f>IF(OR(AND($K$134&lt;&gt;0,Multiphase_subsequent="Yes"),AND($K$139&lt;&gt;0,Small_Area_DDA="Yes"),AND($K$147&lt;&gt;0,DDA_nonmetro="Yes"),AND($K$152&lt;&gt;0,QCT="Yes"),AND($K$160&lt;&gt;0,Geo_Area_of_Opp_boost="Yes"),AND($K$169&lt;&gt;0,E$169="Yes"),AND($K$172&lt;&gt;0,E$172="Yes")),"Yes",IF($M$262=0,"NA","No"))</f>
        <v>NA</v>
      </c>
      <c r="M262" s="1223">
        <v>0</v>
      </c>
    </row>
    <row r="263" spans="2:14" ht="17.399999999999999" hidden="1" customHeight="1">
      <c r="B263" s="14"/>
      <c r="C263" s="768" t="str">
        <f>"If the proposed Development qualifies for a Housing Credit basis boost, multiply by "&amp;TEXT(IF($M262=0,1,DS_Lev_MP_Loan),"0.00")</f>
        <v>If the proposed Development qualifies for a Housing Credit basis boost, multiply by 1.00</v>
      </c>
      <c r="D263" s="759"/>
      <c r="E263" s="759"/>
      <c r="F263" s="759"/>
      <c r="G263" s="759"/>
      <c r="H263" s="759"/>
      <c r="I263" s="1232">
        <f>I261*IF(I262="Yes",IF($M262=0,1,DS_Lev_MP_Loan),1)</f>
        <v>0</v>
      </c>
      <c r="M263" s="1224"/>
    </row>
    <row r="264" spans="2:14" ht="10.35" hidden="1" customHeight="1">
      <c r="B264" s="14"/>
      <c r="C264" s="14"/>
      <c r="I264" s="574"/>
      <c r="M264" s="1224"/>
    </row>
    <row r="265" spans="2:14" ht="17.399999999999999" customHeight="1">
      <c r="B265" s="579">
        <f>IF($M265=0,"",MAX(B$258:B264)+1)</f>
        <v>1</v>
      </c>
      <c r="C265" s="621" t="s">
        <v>1168</v>
      </c>
      <c r="D265" s="478"/>
      <c r="E265" s="478"/>
      <c r="F265" s="478"/>
      <c r="G265" s="478"/>
      <c r="H265" s="478"/>
      <c r="I265" s="1235">
        <f>IF(M265=0,0,1)*MIN(SAIL_Request_Amount,Max_SAIL)</f>
        <v>0</v>
      </c>
      <c r="M265" s="1223">
        <v>1</v>
      </c>
      <c r="N265" s="1468">
        <f>IF(M265=0,0,IF(MIN(N(SAIL_Request_Amount),Max_SAIL)&lt;N(SAIL_Request_Amount),1,0))</f>
        <v>0</v>
      </c>
    </row>
    <row r="266" spans="2:14" ht="17.399999999999999" hidden="1" customHeight="1">
      <c r="B266" s="579"/>
      <c r="C266" s="109" t="s">
        <v>1169</v>
      </c>
      <c r="D266" s="4"/>
      <c r="E266" s="4"/>
      <c r="F266" s="4"/>
      <c r="G266" s="4"/>
      <c r="H266" s="4"/>
      <c r="I266" s="1233" t="str">
        <f>IF(OR(AND($K$134&lt;&gt;0,Multiphase_subsequent="Yes"),AND($K$139&lt;&gt;0,Small_Area_DDA="Yes"),AND($K$147&lt;&gt;0,DDA_nonmetro="Yes"),AND($K$152&lt;&gt;0,QCT="Yes"),AND($K$160&lt;&gt;0,Geo_Area_of_Opp_boost="Yes"),AND($K$169&lt;&gt;0,E$169="Yes"),AND($K$172&lt;&gt;0,E$172="Yes")),"Yes",IF($M$266=0,"NA","No"))</f>
        <v>NA</v>
      </c>
      <c r="M266" s="1223">
        <v>0</v>
      </c>
    </row>
    <row r="267" spans="2:14" ht="17.399999999999999" hidden="1" customHeight="1">
      <c r="B267" s="579"/>
      <c r="C267" s="625" t="str">
        <f>"If the proposed Development qualifies for a Housing Credit basis boost, multiply by "&amp;TEXT(IF($M266=0,1,DS_Lev_MP_Loan),"0.00")</f>
        <v>If the proposed Development qualifies for a Housing Credit basis boost, multiply by 1.00</v>
      </c>
      <c r="D267" s="626"/>
      <c r="E267" s="626"/>
      <c r="F267" s="626"/>
      <c r="G267" s="626"/>
      <c r="H267" s="626"/>
      <c r="I267" s="622">
        <f>I265*IF(I266="Yes",IF($M266=0,1,DS_Lev_MP_Loan),1)</f>
        <v>0</v>
      </c>
      <c r="M267" s="616"/>
    </row>
    <row r="268" spans="2:14" ht="10.35" customHeight="1">
      <c r="B268" s="579"/>
      <c r="C268" s="14"/>
      <c r="I268" s="622"/>
      <c r="M268" s="616"/>
    </row>
    <row r="269" spans="2:14" ht="17.399999999999999" hidden="1" customHeight="1">
      <c r="B269" s="579" t="str">
        <f>IF($M269=0,"",MAX(B$258:B268)+1)</f>
        <v/>
      </c>
      <c r="C269" s="483" t="s">
        <v>1715</v>
      </c>
      <c r="D269" s="478"/>
      <c r="E269" s="478"/>
      <c r="F269" s="478"/>
      <c r="G269" s="478"/>
      <c r="H269" s="478"/>
      <c r="I269" s="1235">
        <f>IF(M269=0,0,1)*MIN(HOME_Request_Amount,Max_HOME)</f>
        <v>0</v>
      </c>
      <c r="M269" s="1223">
        <v>0</v>
      </c>
      <c r="N269" s="1468">
        <f>IF(M269=0,0,IF(MIN(N(HOME_Request_Amount),Max_HOME)&lt;N(HOME_Request_Amount),1,0))</f>
        <v>0</v>
      </c>
    </row>
    <row r="270" spans="2:14" ht="17.399999999999999" hidden="1" customHeight="1">
      <c r="B270" s="579"/>
      <c r="C270" s="108" t="s">
        <v>1169</v>
      </c>
      <c r="D270"/>
      <c r="E270"/>
      <c r="F270"/>
      <c r="G270"/>
      <c r="H270"/>
      <c r="I270" s="1236" t="str">
        <f>IF(OR(AND($K$134&lt;&gt;0,Multiphase_subsequent="Yes"),AND($K$139&lt;&gt;0,Small_Area_DDA="Yes"),AND($K$147&lt;&gt;0,DDA_nonmetro="Yes"),AND($K$152&lt;&gt;0,QCT="Yes"),AND($K$160&lt;&gt;0,Geo_Area_of_Opp_boost="Yes"),AND($K$169&lt;&gt;0,E$169="Yes"),AND($K$172&lt;&gt;0,E$172="Yes")),"Yes",IF($M$266=0,"NA","No"))</f>
        <v>NA</v>
      </c>
      <c r="M270" s="1223">
        <v>0</v>
      </c>
    </row>
    <row r="271" spans="2:14" ht="17.399999999999999" hidden="1" customHeight="1">
      <c r="B271" s="579"/>
      <c r="C271" s="768" t="str">
        <f>"If the proposed Development qualifies for a Housing Credit basis boost, multiply by "&amp;TEXT(IF($M270=0,1,DS_Lev_MP_Loan),"0.00")</f>
        <v>If the proposed Development qualifies for a Housing Credit basis boost, multiply by 1.00</v>
      </c>
      <c r="D271" s="759"/>
      <c r="E271" s="759"/>
      <c r="F271" s="759"/>
      <c r="G271" s="759"/>
      <c r="H271" s="759"/>
      <c r="I271" s="1232">
        <f>I269*IF(I270="Yes",IF($M270=0,1,DS_Lev_MP_Loan),1)</f>
        <v>0</v>
      </c>
      <c r="M271" s="1224"/>
    </row>
    <row r="272" spans="2:14" ht="10.35" hidden="1" customHeight="1">
      <c r="B272" s="579"/>
      <c r="C272" s="14"/>
      <c r="I272" s="574"/>
      <c r="M272" s="1224"/>
    </row>
    <row r="273" spans="2:14" ht="17.399999999999999" customHeight="1">
      <c r="B273" s="579">
        <f>IF($M273=0,"",MAX(B$258:B272)+1)</f>
        <v>2</v>
      </c>
      <c r="C273" s="483" t="s">
        <v>1651</v>
      </c>
      <c r="D273" s="478"/>
      <c r="E273" s="478"/>
      <c r="F273" s="478"/>
      <c r="G273" s="478"/>
      <c r="H273" s="478"/>
      <c r="I273" s="1168">
        <f>IF(M273=0,0,1)*MIN(ARP_Request_Amount,Max_ARP)</f>
        <v>0</v>
      </c>
      <c r="M273" s="1223">
        <v>1</v>
      </c>
      <c r="N273" s="1468">
        <f>IF(M273=0,0,IF(MIN(N(ARP_Request_Amount),Max_ARP)&lt;N(ARP_Request_Amount),1,0))</f>
        <v>0</v>
      </c>
    </row>
    <row r="274" spans="2:14" ht="10.35" customHeight="1" thickBot="1">
      <c r="B274" s="579"/>
      <c r="C274" s="14"/>
      <c r="I274" s="574"/>
      <c r="M274" s="1131"/>
    </row>
    <row r="275" spans="2:14" ht="17.399999999999999" hidden="1" customHeight="1">
      <c r="B275" s="579" t="str">
        <f>IF($M275=0,"",MAX(B$258:B274)+1)</f>
        <v/>
      </c>
      <c r="C275" s="621" t="s">
        <v>1173</v>
      </c>
      <c r="D275" s="478"/>
      <c r="E275" s="478"/>
      <c r="F275" s="478"/>
      <c r="G275" s="478"/>
      <c r="H275" s="478"/>
      <c r="I275" s="573">
        <f>IF(M275=0,0,1)*MIN(N(Grant_Request_Amount),Max_Grant)</f>
        <v>0</v>
      </c>
      <c r="M275" s="1223">
        <v>0</v>
      </c>
      <c r="N275" s="1468">
        <f>IF(M275=0,0,IF(MIN(N(Grant_Request_Amount),Max_Grant)&lt;N(Grant_Request_Amount),1,0))</f>
        <v>0</v>
      </c>
    </row>
    <row r="276" spans="2:14" ht="10.35" hidden="1" customHeight="1">
      <c r="B276" s="579"/>
      <c r="C276" s="14"/>
      <c r="I276" s="574"/>
      <c r="M276" s="616"/>
    </row>
    <row r="277" spans="2:14" ht="17.399999999999999" hidden="1" customHeight="1">
      <c r="B277" s="579" t="str">
        <f>IF($M277=0,"",MAX(B$258:B276)+1)</f>
        <v/>
      </c>
      <c r="C277" s="483" t="s">
        <v>1716</v>
      </c>
      <c r="D277" s="478"/>
      <c r="E277" s="478"/>
      <c r="F277" s="478"/>
      <c r="G277" s="478"/>
      <c r="H277" s="478"/>
      <c r="I277" s="1235">
        <f>IF(M277=0,0,1)*MIN(NHTF_Request_Amount,Max_NHTF)</f>
        <v>0</v>
      </c>
      <c r="M277" s="1223">
        <v>0</v>
      </c>
      <c r="N277" s="1468">
        <f>IF(M277=0,0,IF(MIN(N(NHTF_Request_Amount),Max_NHTF)&lt;N(NHTF_Request_Amount),1,0))</f>
        <v>0</v>
      </c>
    </row>
    <row r="278" spans="2:14" ht="10.35" hidden="1" customHeight="1" thickBot="1">
      <c r="B278" s="579"/>
      <c r="C278" s="14"/>
      <c r="I278" s="574"/>
      <c r="M278" s="1224"/>
    </row>
    <row r="279" spans="2:14" ht="17.399999999999999" customHeight="1" thickTop="1">
      <c r="B279" s="579">
        <f>IF($M279=0,"",MAX(B$258:B278)+1)</f>
        <v>3</v>
      </c>
      <c r="C279" s="483" t="str">
        <f>"Corporation Funding Sources leveraging subtotal"&amp;IF(M258*M259+M261*M262+M265*M266+M269*M270&gt;0,", inclusive of applicable HC basis boost multipliers","")</f>
        <v>Corporation Funding Sources leveraging subtotal</v>
      </c>
      <c r="D279" s="478"/>
      <c r="E279" s="478"/>
      <c r="F279" s="478"/>
      <c r="G279" s="478"/>
      <c r="H279" s="478"/>
      <c r="I279" s="1235">
        <f>(I259+I263+I267+I271+I273+I275+I277)</f>
        <v>0</v>
      </c>
      <c r="M279" s="1223">
        <v>1</v>
      </c>
      <c r="N279" s="1471">
        <f>SUM(N258:N278)</f>
        <v>0</v>
      </c>
    </row>
    <row r="280" spans="2:14" ht="10.35" customHeight="1">
      <c r="B280" s="579"/>
      <c r="C280" s="14"/>
      <c r="I280" s="574"/>
      <c r="M280" s="1466"/>
    </row>
    <row r="281" spans="2:14" ht="17.399999999999999" hidden="1" customHeight="1">
      <c r="B281" s="579" t="str">
        <f>IF($M281=0,"",MAX(B$258:B278)+1)</f>
        <v/>
      </c>
      <c r="C281" s="109" t="s">
        <v>1170</v>
      </c>
      <c r="I281" s="628" t="str">
        <f>IF(County="Broward","Yes","No")</f>
        <v>No</v>
      </c>
      <c r="M281" s="1223">
        <v>0</v>
      </c>
    </row>
    <row r="282" spans="2:14" ht="17.399999999999999" hidden="1" customHeight="1">
      <c r="B282" s="14"/>
      <c r="C282" s="625" t="str">
        <f>"If the proposed Development is located in Broward County, multiply by "&amp;TEXT(IF($M281=0,1,DS_Lev_MP_Broward),"0.00")</f>
        <v>If the proposed Development is located in Broward County, multiply by 1.00</v>
      </c>
      <c r="D282" s="626"/>
      <c r="E282" s="626"/>
      <c r="F282" s="626"/>
      <c r="G282" s="626"/>
      <c r="H282" s="626"/>
      <c r="I282" s="622">
        <f>(I259+I263+I267+I271+I273+I275+I277)*IF(I281="Yes",IF($M281=0,1,DS_Lev_MP_Broward),1)</f>
        <v>0</v>
      </c>
      <c r="M282" s="616"/>
    </row>
    <row r="283" spans="2:14" ht="10.35" hidden="1" customHeight="1">
      <c r="B283" s="14"/>
      <c r="C283" s="14"/>
      <c r="I283" s="622"/>
      <c r="M283" s="616"/>
    </row>
    <row r="284" spans="2:14" ht="17.399999999999999" hidden="1" customHeight="1">
      <c r="B284" s="579" t="str">
        <f>IF($M284=0,"",MAX(B$258:B283)+1)</f>
        <v/>
      </c>
      <c r="C284" s="109" t="s">
        <v>1171</v>
      </c>
      <c r="I284" s="628" t="str">
        <f>IF(PHA_as_Principal="Yes","Yes","No")</f>
        <v>No</v>
      </c>
      <c r="M284" s="1223">
        <v>0</v>
      </c>
    </row>
    <row r="285" spans="2:14" ht="17.399999999999999" hidden="1" customHeight="1">
      <c r="B285" s="14"/>
      <c r="C285" s="625" t="str">
        <f>"If the Applicant has a PHA (or instrumentality) as a Principal, multiply by "&amp;TEXT(IF($M$284=0,1,DS_Lev_MP_PHA),"0.00")</f>
        <v>If the Applicant has a PHA (or instrumentality) as a Principal, multiply by 1.00</v>
      </c>
      <c r="D285" s="626"/>
      <c r="E285" s="626"/>
      <c r="F285" s="626"/>
      <c r="G285" s="626"/>
      <c r="H285" s="626"/>
      <c r="I285" s="622">
        <f>I282*IF(I284="Yes",IF($M284=0,1,DS_Lev_MP_PHA),1)</f>
        <v>0</v>
      </c>
      <c r="M285" s="616"/>
    </row>
    <row r="286" spans="2:14" ht="10.35" hidden="1" customHeight="1">
      <c r="B286" s="14"/>
      <c r="C286" s="14"/>
      <c r="I286" s="622"/>
      <c r="M286" s="616"/>
    </row>
    <row r="287" spans="2:14" ht="45" customHeight="1">
      <c r="B287" s="180">
        <f>IF($M287=0,"",MAX(B$258:B286)+1)</f>
        <v>4</v>
      </c>
      <c r="C287" s="2055" t="str">
        <f>"What is the overall Development Type Leveraging Multiplier derived from the bottom row of the 'Unit Characteristics' table from Section 4.A.4."&amp;'Proposed Development Info'!A67&amp;".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287" s="2055"/>
      <c r="E287" s="2055"/>
      <c r="F287" s="2055"/>
      <c r="G287" s="2055"/>
      <c r="H287" s="2055"/>
      <c r="I287" s="746">
        <f>'Proposed Development Info'!I87</f>
        <v>0</v>
      </c>
      <c r="M287" s="1223">
        <v>1</v>
      </c>
    </row>
    <row r="288" spans="2:14" ht="17.399999999999999" customHeight="1">
      <c r="B288" s="14"/>
      <c r="C288" s="624" t="s">
        <v>1172</v>
      </c>
      <c r="D288" s="624"/>
      <c r="E288" s="624"/>
      <c r="F288" s="624"/>
      <c r="G288" s="624"/>
      <c r="H288" s="624"/>
      <c r="I288" s="607">
        <f>I285*IF($M287=0,1,I287)</f>
        <v>0</v>
      </c>
    </row>
    <row r="289" spans="1:13" ht="17.399999999999999" customHeight="1">
      <c r="C289" s="625" t="str">
        <f>"What is the Applicant's total Corporation's funding per Set-Aside Unit ("&amp;TEXT(MAX(total_HC_units_NonAIT,total_HC_units_avg_inc),"0")&amp;" SAUs)?"</f>
        <v>What is the Applicant's total Corporation's funding per Set-Aside Unit (0 SAUs)?</v>
      </c>
      <c r="D289" s="626"/>
      <c r="E289" s="626"/>
      <c r="F289" s="626"/>
      <c r="G289" s="626"/>
      <c r="H289" s="626"/>
      <c r="I289" s="745">
        <f>ROUND(IF(MAX('Units, Set-Asides, Bldgs'!F32,total_HC_units_avg_inc)=0,0,Funding!I288/MAX('Units, Set-Asides, Bldgs'!F32,total_HC_units_avg_inc)),2)</f>
        <v>0</v>
      </c>
      <c r="J289" s="42"/>
      <c r="K289" s="42"/>
      <c r="M289" s="1470" t="s">
        <v>1926</v>
      </c>
    </row>
    <row r="290" spans="1:13" ht="10.35" customHeight="1">
      <c r="J290" s="42"/>
      <c r="K290" s="42"/>
    </row>
    <row r="291" spans="1:13" ht="17.399999999999999" customHeight="1">
      <c r="A291" s="182" t="str" cm="1">
        <f t="array" ref="A291">IF(M291=0,"",CHAR(CODE(LOOKUP(2,1/(COUNTIF(A$3:A290,"&gt;"&amp;A$3:A290&amp;"*")=0),A$3:A290))+1))</f>
        <v>g</v>
      </c>
      <c r="B291" s="1967" t="s">
        <v>1153</v>
      </c>
      <c r="C291" s="1967"/>
      <c r="D291" s="1967"/>
      <c r="E291" s="1967"/>
      <c r="F291" s="1967"/>
      <c r="G291" s="1967"/>
      <c r="H291" s="1967"/>
      <c r="I291" s="1967"/>
      <c r="J291" s="42"/>
      <c r="K291"/>
      <c r="L291"/>
      <c r="M291" s="1223">
        <v>1</v>
      </c>
    </row>
    <row r="292" spans="1:13" ht="10.35" customHeight="1">
      <c r="J292" s="42"/>
      <c r="K292" s="42"/>
    </row>
    <row r="293" spans="1:13" ht="44.1" customHeight="1">
      <c r="B293" s="2056"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applicable",""),IF(DS_FLJobs_SAIL="Yes","SAIL",IF(DS_FLJobs_HOME="Yes","HOME","??"))&amp;" funding")&amp;"."</f>
        <v>In order to earn the Florida Job Creation Funding Preference, the Applicant will need to earn a Florida Job Creation score equal to or greater than 5.25, which represents the number of Florida jobs per $1,000,000 of SAIL funding.</v>
      </c>
      <c r="C293" s="2056"/>
      <c r="D293" s="2056"/>
      <c r="E293" s="2056"/>
      <c r="F293" s="2056"/>
      <c r="G293" s="2056"/>
      <c r="H293" s="2056"/>
      <c r="I293" s="2056"/>
      <c r="J293" s="42"/>
      <c r="K293" s="42"/>
    </row>
    <row r="294" spans="1:13" ht="10.35" customHeight="1">
      <c r="J294" s="42"/>
      <c r="K294" s="42"/>
    </row>
    <row r="295" spans="1:13" ht="17.399999999999999" customHeight="1">
      <c r="B295" s="42" t="s">
        <v>1452</v>
      </c>
      <c r="J295" s="42"/>
      <c r="K295" s="42"/>
    </row>
    <row r="296" spans="1:13" ht="10.35" customHeight="1">
      <c r="J296" s="42"/>
      <c r="K296" s="42"/>
    </row>
    <row r="297" spans="1:13" ht="45" customHeight="1">
      <c r="B297" s="2052" t="str">
        <f>IF('Proposed Development Info'!H87=0,"[ ( 0 NC MF Units x "&amp;TEXT(DS_FLJobs_MFNC,"0.000")&amp;" ) + ( 0 A/R MF Units x "&amp;TEXT(DS_FLJobs_MFAR,"0.000")&amp;" ) ]",IF(OR(AND(SUM('Proposed Development Info'!H72:H80)&gt;0,SUM('Proposed Development Info'!H81:H86)&gt;0),AND(SUM('Proposed Development Info'!H72:H76)+SUM('Proposed Development Info'!H79:H80)&gt;0,SUM('Proposed Development Info'!H77:H78)&gt;0)),"[ ","")&amp;IF(SUM('Proposed Development Info'!H72:H76)+SUM('Proposed Development Info'!H79:H80)&gt;0,"( "&amp;TEXT(SUM('Proposed Development Info'!H72:H76)+SUM('Proposed Development Info'!H79:H80),"0")&amp;" NC MF Units x "&amp;TEXT(DS_FLJobs_MFNC,"0.000")&amp;" ) ","")&amp;IF(AND(SUM('Proposed Development Info'!H72:H76)+SUM('Proposed Development Info'!H79:H80)&gt;0,SUM('Proposed Development Info'!H77:H78)&gt;0),"+ ","")&amp;IF(SUM('Proposed Development Info'!H77:H78)&gt;0,"( "&amp;TEXT(SUM('Proposed Development Info'!H77:H78),"0")&amp;" NC SF Units x "&amp;TEXT(DS_FLJobs_SFNC,"0.000")&amp;" ) ","")&amp;IF(AND(SUM('Proposed Development Info'!H72:H80)&gt;0,SUM('Proposed Development Info'!H81:H86)&gt;0),"+ ","")&amp;IF(SUM('Proposed Development Info'!H81:H86)&gt;0,"( "&amp;TEXT(SUM('Proposed Development Info'!H81:H86),"0")&amp;IF(Development_Category="Rehabilitation"," R"," A/R")&amp;" MF Units x "&amp;TEXT(IF(Development_Category="Rehabilitation",DS_FLJobs_MFRO,DS_FLJobs_MFAR),"0.000")&amp;" ) ","")&amp;IF(OR(AND(SUM('Proposed Development Info'!H72:H80)&gt;0,SUM('Proposed Development Info'!H81:H86)&gt;0),AND(SUM('Proposed Development Info'!H72:H76)+SUM('Proposed Development Info'!H79:H80)&gt;0,SUM('Proposed Development Info'!H77:H78)&gt;0)),"]",""))&amp;" x 1,000,000 / ( "&amp;IF(MIN(Competitive_HC_Request_Amount,N(Max_Competitive_HC))*Data3!H145&gt;0,TEXT(MIN(Competitive_HC_Request_Amount,Max_Competitive_HC),"$#,##0")&amp;" x "&amp;TEXT(DS_FLJobs_MP_HC,"0.0")&amp;IF(SUM(Data3!H146:H150)&gt;0," + "," ) "),"")&amp;IF(Data3!H146=1,TEXT(MIN(Workforce_Request_Amount,Max_Workforce),"$#,##0")&amp;" Workforce"&amp;IF(SUM(Data3!H147:H150)&gt;0," + "," ) "),"")&amp;IF(Data3!H147=1,TEXT(MIN(SAIL_Request_Amount,Max_SAIL),"$#,##0")&amp;" SAIL"&amp;IF(SUM(Data3!H148:H150)&gt;0," + "," ) "),"")&amp;IF(Data3!H148=1,TEXT(MIN(HOME_Request_Amount,Max_HOME),"$#,##0")&amp;" HOME"&amp;IF(SUM(Data3!H149:H150)&gt;0," + "," ) "),"")&amp;IF(Data3!H149=1,TEXT(MIN(ARP_Request_Amount,Max_ARP),"$#,##0")&amp;" HOME-ARP"&amp;IF(Data3!H150=1," + "," ) "),"")&amp;IF(Data3!H150=1,TEXT(MIN(Grant_Request_Amount,Max_Grant),"$#,##0")&amp;" Grant"&amp;" ) ","")&amp;" = Florida Job Creation Score of "&amp;TEXT(DS_FLJobs_Score,"0.00")&amp;"."</f>
        <v>[ ( 0 NC MF Units x 3.171 ) + ( 0 A/R MF Units x 1.602 ) ] x 1,000,000 / ( $0 SAIL + $0 HOME-ARP )  = Florida Job Creation Score of 0.00.</v>
      </c>
      <c r="C297" s="2053"/>
      <c r="D297" s="2053"/>
      <c r="E297" s="2053"/>
      <c r="F297" s="2053"/>
      <c r="G297" s="2053"/>
      <c r="H297" s="2053"/>
      <c r="I297" s="2053"/>
      <c r="J297" s="42"/>
      <c r="K297" s="42"/>
    </row>
    <row r="298" spans="1:13" ht="4.95" customHeight="1">
      <c r="J298" s="42"/>
      <c r="K298" s="42"/>
    </row>
    <row r="299" spans="1:13" ht="17.399999999999999" customHeight="1">
      <c r="B299" s="571" t="str">
        <f>"A Florida Job Creation score of "&amp;TEXT(DS_FLJobs_Score,"0.00")&amp;IF(DS_FLJobs_Score&gt;=DS_FLJobs_Min_Score1," earns"," does NOT earn")&amp;" the Florida Job Creation Funding Preference."</f>
        <v>A Florida Job Creation score of 0.00 does NOT earn the Florida Job Creation Funding Preference.</v>
      </c>
      <c r="J299" s="42"/>
      <c r="K299" s="42"/>
    </row>
    <row r="300" spans="1:13" ht="10.35" customHeight="1"/>
    <row r="303" spans="1:13">
      <c r="A303"/>
      <c r="B303"/>
      <c r="C303"/>
      <c r="D303"/>
      <c r="E303"/>
      <c r="F303"/>
      <c r="G303"/>
      <c r="H303"/>
      <c r="I303"/>
    </row>
    <row r="304" spans="1:13">
      <c r="B304" s="1364"/>
      <c r="C304" s="1364"/>
      <c r="D304" s="1364"/>
      <c r="E304" s="1364"/>
      <c r="F304" s="1364"/>
      <c r="G304" s="1364"/>
      <c r="H304" s="1364"/>
      <c r="I304" s="1364"/>
    </row>
    <row r="305" spans="2:9">
      <c r="B305" s="1364"/>
      <c r="C305" s="1364"/>
      <c r="D305" s="1364"/>
      <c r="E305" s="1364"/>
      <c r="F305" s="1364"/>
      <c r="G305" s="1364"/>
      <c r="H305" s="1364"/>
      <c r="I305" s="1364"/>
    </row>
  </sheetData>
  <sheetProtection algorithmName="SHA-512" hashValue="OSFr5h6L2Noyvw68/bj4ZmV9OepxQKV+zm+Ix/PTjqiyZ3FnWLPXTlTQsWzoe3eTUxXwLQ2bi80lqXE+pmPP+g==" saltValue="t0gZn1hvlrTxOURvUA4TVw==" spinCount="100000" sheet="1" formatRows="0" selectLockedCells="1"/>
  <mergeCells count="101">
    <mergeCell ref="K1:U2"/>
    <mergeCell ref="E163:F163"/>
    <mergeCell ref="E91:G91"/>
    <mergeCell ref="E70:G70"/>
    <mergeCell ref="D93:H93"/>
    <mergeCell ref="D72:H72"/>
    <mergeCell ref="B297:I297"/>
    <mergeCell ref="E202:F202"/>
    <mergeCell ref="B256:I256"/>
    <mergeCell ref="D240:F240"/>
    <mergeCell ref="D244:F244"/>
    <mergeCell ref="C238:I239"/>
    <mergeCell ref="C242:I243"/>
    <mergeCell ref="B236:I236"/>
    <mergeCell ref="E205:F205"/>
    <mergeCell ref="B218:I218"/>
    <mergeCell ref="C222:I222"/>
    <mergeCell ref="C287:H287"/>
    <mergeCell ref="B291:I291"/>
    <mergeCell ref="B293:I293"/>
    <mergeCell ref="B255:I255"/>
    <mergeCell ref="D248:I248"/>
    <mergeCell ref="B232:I232"/>
    <mergeCell ref="C212:I212"/>
    <mergeCell ref="D213:I213"/>
    <mergeCell ref="B215:I215"/>
    <mergeCell ref="C230:H230"/>
    <mergeCell ref="B207:I207"/>
    <mergeCell ref="E209:G209"/>
    <mergeCell ref="E210:G210"/>
    <mergeCell ref="E201:F201"/>
    <mergeCell ref="E181:F181"/>
    <mergeCell ref="E160:F160"/>
    <mergeCell ref="C208:I208"/>
    <mergeCell ref="E203:F203"/>
    <mergeCell ref="E204:F204"/>
    <mergeCell ref="E172:F172"/>
    <mergeCell ref="E164:F164"/>
    <mergeCell ref="D199:I199"/>
    <mergeCell ref="E186:I187"/>
    <mergeCell ref="G162:I162"/>
    <mergeCell ref="G163:I163"/>
    <mergeCell ref="G164:I164"/>
    <mergeCell ref="D194:I194"/>
    <mergeCell ref="C192:I192"/>
    <mergeCell ref="E169:F169"/>
    <mergeCell ref="G181:I181"/>
    <mergeCell ref="G179:I179"/>
    <mergeCell ref="C189:I190"/>
    <mergeCell ref="E175:G175"/>
    <mergeCell ref="E179:F179"/>
    <mergeCell ref="E178:I178"/>
    <mergeCell ref="E180:I180"/>
    <mergeCell ref="E162:F162"/>
    <mergeCell ref="E102:G102"/>
    <mergeCell ref="D6:H6"/>
    <mergeCell ref="A1:I1"/>
    <mergeCell ref="D125:H125"/>
    <mergeCell ref="C106:I106"/>
    <mergeCell ref="C4:I4"/>
    <mergeCell ref="I48:I55"/>
    <mergeCell ref="D19:H19"/>
    <mergeCell ref="E32:G32"/>
    <mergeCell ref="D36:H36"/>
    <mergeCell ref="E40:G40"/>
    <mergeCell ref="D78:H78"/>
    <mergeCell ref="G143:I143"/>
    <mergeCell ref="E142:F142"/>
    <mergeCell ref="E143:F143"/>
    <mergeCell ref="G142:I142"/>
    <mergeCell ref="J48:J55"/>
    <mergeCell ref="C82:I82"/>
    <mergeCell ref="E13:G13"/>
    <mergeCell ref="E57:G57"/>
    <mergeCell ref="E46:G46"/>
    <mergeCell ref="G141:I141"/>
    <mergeCell ref="D34:H34"/>
    <mergeCell ref="D110:H110"/>
    <mergeCell ref="E123:G123"/>
    <mergeCell ref="E130:F130"/>
    <mergeCell ref="E134:F134"/>
    <mergeCell ref="D127:H127"/>
    <mergeCell ref="E136:F136"/>
    <mergeCell ref="E139:F139"/>
    <mergeCell ref="E141:F141"/>
    <mergeCell ref="D76:G76"/>
    <mergeCell ref="D42:H42"/>
    <mergeCell ref="D59:H59"/>
    <mergeCell ref="I63:I68"/>
    <mergeCell ref="I85:I90"/>
    <mergeCell ref="L156:L157"/>
    <mergeCell ref="M156:M157"/>
    <mergeCell ref="K156:K157"/>
    <mergeCell ref="E147:F147"/>
    <mergeCell ref="E149:F149"/>
    <mergeCell ref="E152:F152"/>
    <mergeCell ref="E156:F157"/>
    <mergeCell ref="E154:H154"/>
    <mergeCell ref="G156:I156"/>
    <mergeCell ref="G149:I149"/>
    <mergeCell ref="G157:I157"/>
  </mergeCells>
  <conditionalFormatting sqref="G162:I164">
    <cfRule type="expression" dxfId="287" priority="203" stopIfTrue="1">
      <formula>$E162=""</formula>
    </cfRule>
    <cfRule type="expression" dxfId="286" priority="204">
      <formula>$G162="The given Census Tract Number is a GAO in "&amp;County&amp;" County."</formula>
    </cfRule>
  </conditionalFormatting>
  <conditionalFormatting sqref="G181">
    <cfRule type="cellIs" dxfId="285" priority="238" operator="equal">
      <formula>"Please indicate which of the criteria has been met"</formula>
    </cfRule>
  </conditionalFormatting>
  <conditionalFormatting sqref="E136 E141:E143 E156 G196:G197 D248 G202:H205">
    <cfRule type="cellIs" dxfId="284" priority="186" operator="notEqual">
      <formula>""</formula>
    </cfRule>
  </conditionalFormatting>
  <conditionalFormatting sqref="E130 E134 E139 E152 E160 E169 E172 E179 E181 I80 D240 D244">
    <cfRule type="cellIs" dxfId="283" priority="176" operator="notEqual">
      <formula>"&lt;select from menu&gt;"</formula>
    </cfRule>
  </conditionalFormatting>
  <conditionalFormatting sqref="I59">
    <cfRule type="cellIs" dxfId="282" priority="167" stopIfTrue="1" operator="greaterThan">
      <formula>$H57</formula>
    </cfRule>
    <cfRule type="expression" dxfId="281" priority="169">
      <formula>AND(N(I59)&gt;0,N(I59)&lt;=$H57)</formula>
    </cfRule>
  </conditionalFormatting>
  <conditionalFormatting sqref="I42">
    <cfRule type="expression" dxfId="280" priority="147" stopIfTrue="1">
      <formula>N(I42)&gt;N(H40)</formula>
    </cfRule>
    <cfRule type="expression" dxfId="279" priority="148">
      <formula>AND(N(I42)&gt;0,N(I42)&lt;=$H40)</formula>
    </cfRule>
  </conditionalFormatting>
  <conditionalFormatting sqref="I185">
    <cfRule type="expression" dxfId="278" priority="88">
      <formula>$J$185="**"</formula>
    </cfRule>
    <cfRule type="cellIs" dxfId="277" priority="242" operator="notEqual">
      <formula>""</formula>
    </cfRule>
  </conditionalFormatting>
  <conditionalFormatting sqref="I80">
    <cfRule type="cellIs" dxfId="276" priority="246" operator="notEqual">
      <formula>"&lt;select from menu&gt;"</formula>
    </cfRule>
  </conditionalFormatting>
  <conditionalFormatting sqref="I104">
    <cfRule type="cellIs" dxfId="275" priority="174" stopIfTrue="1" operator="greaterThan">
      <formula>$H102</formula>
    </cfRule>
    <cfRule type="expression" dxfId="274" priority="175">
      <formula>AND(N(I104)&gt;0,N(I104)&lt;=$H102)</formula>
    </cfRule>
  </conditionalFormatting>
  <conditionalFormatting sqref="I127">
    <cfRule type="expression" dxfId="273" priority="184">
      <formula>AND(N(I127)&gt;0,$K127=1)</formula>
    </cfRule>
  </conditionalFormatting>
  <conditionalFormatting sqref="G156">
    <cfRule type="expression" dxfId="272" priority="196" stopIfTrue="1">
      <formula>$E$154="Non-Metro"</formula>
    </cfRule>
  </conditionalFormatting>
  <conditionalFormatting sqref="G141:I143">
    <cfRule type="expression" dxfId="271" priority="190" stopIfTrue="1">
      <formula>LEFT($G141,MAX(19,MIN(0,LEN($G141))))="The ZCTA is located"</formula>
    </cfRule>
    <cfRule type="expression" dxfId="270" priority="191" stopIfTrue="1">
      <formula>AND($G141="Invalid Entry - The ZCTA is not in the HUD 2022 database",AND($K$125&lt;&gt;0,$K$127&lt;&gt;0))</formula>
    </cfRule>
    <cfRule type="expression" dxfId="269" priority="192" stopIfTrue="1">
      <formula>$E141=""</formula>
    </cfRule>
  </conditionalFormatting>
  <conditionalFormatting sqref="G156:I157">
    <cfRule type="expression" dxfId="268" priority="197" stopIfTrue="1">
      <formula>$E$156=""</formula>
    </cfRule>
  </conditionalFormatting>
  <conditionalFormatting sqref="G157">
    <cfRule type="expression" dxfId="267" priority="201" stopIfTrue="1">
      <formula>$E$154="Metro"</formula>
    </cfRule>
  </conditionalFormatting>
  <conditionalFormatting sqref="I234">
    <cfRule type="cellIs" dxfId="266" priority="281" operator="equal">
      <formula>"No"</formula>
    </cfRule>
    <cfRule type="cellIs" dxfId="265" priority="323" operator="equal">
      <formula>"Need to select a Development Category"</formula>
    </cfRule>
    <cfRule type="cellIs" dxfId="264" priority="324" operator="equal">
      <formula>"Need an entry for Total Units"</formula>
    </cfRule>
  </conditionalFormatting>
  <conditionalFormatting sqref="H7:H11 H13">
    <cfRule type="cellIs" dxfId="263" priority="127" operator="equal">
      <formula>"Select a County"</formula>
    </cfRule>
  </conditionalFormatting>
  <conditionalFormatting sqref="H23:H27">
    <cfRule type="cellIs" dxfId="262" priority="134" operator="equal">
      <formula>"Select a Development Category"</formula>
    </cfRule>
  </conditionalFormatting>
  <conditionalFormatting sqref="H20:H22">
    <cfRule type="cellIs" dxfId="261" priority="133" operator="equal">
      <formula>"Select a County"</formula>
    </cfRule>
  </conditionalFormatting>
  <conditionalFormatting sqref="H28:H30">
    <cfRule type="cellIs" dxfId="260" priority="137" operator="equal">
      <formula>"Identify Status"</formula>
    </cfRule>
  </conditionalFormatting>
  <conditionalFormatting sqref="I34">
    <cfRule type="expression" dxfId="259" priority="138" stopIfTrue="1">
      <formula>N(I34)&gt;N(H32)</formula>
    </cfRule>
    <cfRule type="expression" dxfId="258" priority="145">
      <formula>AND(N(I34)&gt;0,N(I34)&lt;=$H32)</formula>
    </cfRule>
  </conditionalFormatting>
  <conditionalFormatting sqref="I125">
    <cfRule type="cellIs" dxfId="257" priority="180" stopIfTrue="1" operator="greaterThan">
      <formula>$H$123</formula>
    </cfRule>
    <cfRule type="expression" dxfId="256" priority="181">
      <formula>AND(N(I125)&gt;0,N(I125)&lt;=$H123)</formula>
    </cfRule>
  </conditionalFormatting>
  <conditionalFormatting sqref="G179">
    <cfRule type="expression" dxfId="255" priority="230" stopIfTrue="1">
      <formula>$E$179="&lt;select from menu&gt;"</formula>
    </cfRule>
    <cfRule type="expression" dxfId="254" priority="231" stopIfTrue="1">
      <formula>$E$179="No"</formula>
    </cfRule>
    <cfRule type="cellIs" dxfId="253" priority="237" operator="equal">
      <formula>"Invalid Entry - only applicants who select the Family demographic are eligible for this funding goal"</formula>
    </cfRule>
  </conditionalFormatting>
  <conditionalFormatting sqref="I78">
    <cfRule type="cellIs" dxfId="252" priority="171" stopIfTrue="1" operator="greaterThan">
      <formula>$H$76</formula>
    </cfRule>
    <cfRule type="expression" dxfId="251" priority="172">
      <formula>AND(N(I78)&gt;0,N(I78)&lt;=$H76)</formula>
    </cfRule>
  </conditionalFormatting>
  <conditionalFormatting sqref="B246:I248">
    <cfRule type="expression" dxfId="250" priority="329">
      <formula>$K$248=0</formula>
    </cfRule>
  </conditionalFormatting>
  <conditionalFormatting sqref="B242:I248">
    <cfRule type="expression" dxfId="249" priority="327">
      <formula>$K$244=0</formula>
    </cfRule>
  </conditionalFormatting>
  <conditionalFormatting sqref="B238:I241">
    <cfRule type="expression" dxfId="248" priority="326">
      <formula>$K$240=0</formula>
    </cfRule>
  </conditionalFormatting>
  <conditionalFormatting sqref="A236:I249">
    <cfRule type="expression" dxfId="247" priority="325">
      <formula>AND($K$240=0,$K$244=0,$K$248=0)</formula>
    </cfRule>
  </conditionalFormatting>
  <conditionalFormatting sqref="A232:I235">
    <cfRule type="expression" dxfId="246" priority="280">
      <formula>$M$232=0</formula>
    </cfRule>
  </conditionalFormatting>
  <conditionalFormatting sqref="A215:I217">
    <cfRule type="expression" dxfId="245" priority="279">
      <formula>$M$215=0</formula>
    </cfRule>
  </conditionalFormatting>
  <conditionalFormatting sqref="C209:I210">
    <cfRule type="expression" dxfId="244" priority="273">
      <formula>$K209=0</formula>
    </cfRule>
  </conditionalFormatting>
  <conditionalFormatting sqref="A208:I211">
    <cfRule type="expression" dxfId="243" priority="1">
      <formula>$M$208=0</formula>
    </cfRule>
  </conditionalFormatting>
  <conditionalFormatting sqref="C202:I205">
    <cfRule type="expression" dxfId="242" priority="1252">
      <formula>$K202=0</formula>
    </cfRule>
  </conditionalFormatting>
  <conditionalFormatting sqref="C199:I206">
    <cfRule type="expression" dxfId="241" priority="266">
      <formula>SUM($K$202:$K$205)=0</formula>
    </cfRule>
  </conditionalFormatting>
  <conditionalFormatting sqref="B80:I83">
    <cfRule type="expression" dxfId="240" priority="252">
      <formula>$K$80=0</formula>
    </cfRule>
  </conditionalFormatting>
  <conditionalFormatting sqref="B185:I185 B188:I191 B186:E186 B187:D187">
    <cfRule type="expression" dxfId="239" priority="240">
      <formula>OR($K$185=0,$K$127=0)</formula>
    </cfRule>
  </conditionalFormatting>
  <conditionalFormatting sqref="B177:I181">
    <cfRule type="expression" dxfId="238" priority="207">
      <formula>$K$179=0</formula>
    </cfRule>
  </conditionalFormatting>
  <conditionalFormatting sqref="B171:I173">
    <cfRule type="expression" dxfId="237" priority="206">
      <formula>$K$172=0</formula>
    </cfRule>
  </conditionalFormatting>
  <conditionalFormatting sqref="B168:I170">
    <cfRule type="expression" dxfId="236" priority="205">
      <formula>$K$169=0</formula>
    </cfRule>
  </conditionalFormatting>
  <conditionalFormatting sqref="B159:I167">
    <cfRule type="expression" dxfId="235" priority="202">
      <formula>$K$160=0</formula>
    </cfRule>
  </conditionalFormatting>
  <conditionalFormatting sqref="B151:I158">
    <cfRule type="expression" dxfId="234" priority="195">
      <formula>$K$152=0</formula>
    </cfRule>
  </conditionalFormatting>
  <conditionalFormatting sqref="B146:I150">
    <cfRule type="expression" dxfId="233" priority="194">
      <formula>$K$147=0</formula>
    </cfRule>
  </conditionalFormatting>
  <conditionalFormatting sqref="B138:I145">
    <cfRule type="expression" dxfId="232" priority="189">
      <formula>$K$139=0</formula>
    </cfRule>
  </conditionalFormatting>
  <conditionalFormatting sqref="B133:I137">
    <cfRule type="expression" dxfId="231" priority="188">
      <formula>$K$134=0</formula>
    </cfRule>
  </conditionalFormatting>
  <conditionalFormatting sqref="B132:I132">
    <cfRule type="expression" dxfId="230" priority="187">
      <formula>AND($K$134=0,$K$139=0,$K$147=0,$K$152=0,$K$160=0,$K$169=0,$K$172=0,$K$179=0)</formula>
    </cfRule>
  </conditionalFormatting>
  <conditionalFormatting sqref="B129:I131">
    <cfRule type="expression" dxfId="229" priority="185">
      <formula>$K$130=0</formula>
    </cfRule>
  </conditionalFormatting>
  <conditionalFormatting sqref="B127:I128">
    <cfRule type="expression" dxfId="228" priority="183">
      <formula>$K$127=0</formula>
    </cfRule>
  </conditionalFormatting>
  <conditionalFormatting sqref="B108:I126">
    <cfRule type="expression" dxfId="227" priority="178">
      <formula>$K$125=0</formula>
    </cfRule>
  </conditionalFormatting>
  <conditionalFormatting sqref="B106:I191">
    <cfRule type="expression" dxfId="226" priority="8">
      <formula>AND($K$125=0,$K$127=0)</formula>
    </cfRule>
  </conditionalFormatting>
  <conditionalFormatting sqref="B95:I105">
    <cfRule type="expression" dxfId="225" priority="173">
      <formula>$K$104=0</formula>
    </cfRule>
  </conditionalFormatting>
  <conditionalFormatting sqref="B74:I79">
    <cfRule type="expression" dxfId="224" priority="170">
      <formula>$K$78=0</formula>
    </cfRule>
  </conditionalFormatting>
  <conditionalFormatting sqref="K185">
    <cfRule type="expression" dxfId="223" priority="211">
      <formula>AND($K$127=0,$K$185=1)</formula>
    </cfRule>
  </conditionalFormatting>
  <conditionalFormatting sqref="B44:I60">
    <cfRule type="expression" dxfId="222" priority="149">
      <formula>$K$59=0</formula>
    </cfRule>
  </conditionalFormatting>
  <conditionalFormatting sqref="B49:H53">
    <cfRule type="expression" dxfId="221" priority="162">
      <formula>$K49=0</formula>
    </cfRule>
  </conditionalFormatting>
  <conditionalFormatting sqref="B36:I43">
    <cfRule type="expression" dxfId="220" priority="146">
      <formula>$K$42=0</formula>
    </cfRule>
  </conditionalFormatting>
  <conditionalFormatting sqref="B19:I35">
    <cfRule type="expression" dxfId="219" priority="131">
      <formula>$K$34=0</formula>
    </cfRule>
  </conditionalFormatting>
  <conditionalFormatting sqref="B17:I18">
    <cfRule type="expression" dxfId="218" priority="130">
      <formula>AND($K$34=0,$K$42=0)</formula>
    </cfRule>
  </conditionalFormatting>
  <conditionalFormatting sqref="B4:I16">
    <cfRule type="expression" dxfId="217" priority="126">
      <formula>$K$15=0</formula>
    </cfRule>
  </conditionalFormatting>
  <conditionalFormatting sqref="B20:I30 B86:H89 J88">
    <cfRule type="expression" dxfId="216" priority="132">
      <formula>$N20=0</formula>
    </cfRule>
  </conditionalFormatting>
  <conditionalFormatting sqref="B111:I121">
    <cfRule type="expression" dxfId="215" priority="179">
      <formula>$N111=0</formula>
    </cfRule>
  </conditionalFormatting>
  <conditionalFormatting sqref="M125 M127">
    <cfRule type="expression" dxfId="214" priority="177">
      <formula>AND($K$125=1,$K$127=1)</formula>
    </cfRule>
  </conditionalFormatting>
  <conditionalFormatting sqref="A291:I300">
    <cfRule type="expression" dxfId="213" priority="413">
      <formula>$M$291=0</formula>
    </cfRule>
  </conditionalFormatting>
  <conditionalFormatting sqref="I15">
    <cfRule type="cellIs" dxfId="212" priority="128" stopIfTrue="1" operator="greaterThan">
      <formula>$H13</formula>
    </cfRule>
    <cfRule type="expression" dxfId="211" priority="129">
      <formula>AND(N(I15)&gt;0,N(I15)&lt;=$H13)</formula>
    </cfRule>
  </conditionalFormatting>
  <conditionalFormatting sqref="I226">
    <cfRule type="cellIs" dxfId="210" priority="119" operator="equal">
      <formula>"Yes"</formula>
    </cfRule>
    <cfRule type="cellIs" dxfId="209" priority="120" operator="equal">
      <formula>"No"</formula>
    </cfRule>
  </conditionalFormatting>
  <conditionalFormatting sqref="B220:I227">
    <cfRule type="expression" dxfId="208" priority="116">
      <formula>$M$220=0</formula>
    </cfRule>
  </conditionalFormatting>
  <conditionalFormatting sqref="A218:I231">
    <cfRule type="expression" dxfId="207" priority="115">
      <formula>$M$218=0</formula>
    </cfRule>
  </conditionalFormatting>
  <conditionalFormatting sqref="I230">
    <cfRule type="cellIs" dxfId="206" priority="112" operator="notEqual">
      <formula>"&lt;select from menu&gt;"</formula>
    </cfRule>
  </conditionalFormatting>
  <conditionalFormatting sqref="I230">
    <cfRule type="cellIs" dxfId="205" priority="114" operator="notEqual">
      <formula>"&lt;select from menu&gt;"</formula>
    </cfRule>
  </conditionalFormatting>
  <conditionalFormatting sqref="K230">
    <cfRule type="expression" dxfId="204" priority="1143">
      <formula>AND($K$218=0,$K220&lt;&gt;0)</formula>
    </cfRule>
  </conditionalFormatting>
  <conditionalFormatting sqref="I252">
    <cfRule type="cellIs" dxfId="203" priority="104" operator="notEqual">
      <formula>"&lt;select from menu&gt;"</formula>
    </cfRule>
  </conditionalFormatting>
  <conditionalFormatting sqref="I252">
    <cfRule type="cellIs" dxfId="202" priority="106" operator="notEqual">
      <formula>"&lt;select from menu&gt;"</formula>
    </cfRule>
  </conditionalFormatting>
  <conditionalFormatting sqref="E175">
    <cfRule type="cellIs" dxfId="201" priority="101" operator="notEqual">
      <formula>"Answer all HUD basis boost questions above"</formula>
    </cfRule>
  </conditionalFormatting>
  <conditionalFormatting sqref="D174:I174">
    <cfRule type="expression" dxfId="200" priority="100">
      <formula>AND($K$125=0,$K$127=0)</formula>
    </cfRule>
  </conditionalFormatting>
  <conditionalFormatting sqref="B174:I176">
    <cfRule type="expression" dxfId="199" priority="98">
      <formula>$K$175=0</formula>
    </cfRule>
  </conditionalFormatting>
  <conditionalFormatting sqref="J48:J55">
    <cfRule type="expression" dxfId="198" priority="97">
      <formula>IFERROR(FIND(" NOT ",J48),0)&gt;0</formula>
    </cfRule>
  </conditionalFormatting>
  <conditionalFormatting sqref="C225:H225">
    <cfRule type="expression" dxfId="197" priority="95">
      <formula>FIND("Qualifying_FAFP_Basis",$C225)&gt;0</formula>
    </cfRule>
  </conditionalFormatting>
  <conditionalFormatting sqref="F49:F53">
    <cfRule type="expression" dxfId="196" priority="96">
      <formula>AND(F49&lt;&gt;"",SUM(F$49:F$53)&lt;ROUNDUP(ROUNDUP(HOME_Request_Amount/TDC_total,2)*Total_Units,0))</formula>
    </cfRule>
    <cfRule type="cellIs" dxfId="195" priority="166" operator="greaterThan">
      <formula>0</formula>
    </cfRule>
  </conditionalFormatting>
  <conditionalFormatting sqref="H54">
    <cfRule type="expression" dxfId="194" priority="94">
      <formula>ROUNDUP(ROUNDUP(HOME_Request_Amount/TDC_total,2)*Total_Units,0)&gt;H54</formula>
    </cfRule>
  </conditionalFormatting>
  <conditionalFormatting sqref="J185">
    <cfRule type="cellIs" dxfId="193" priority="90" operator="equal">
      <formula>"**"</formula>
    </cfRule>
  </conditionalFormatting>
  <conditionalFormatting sqref="E186:I187">
    <cfRule type="expression" dxfId="192" priority="86">
      <formula>$J$185&lt;&gt;"**"</formula>
    </cfRule>
    <cfRule type="expression" dxfId="191" priority="87">
      <formula>$J$185="**"</formula>
    </cfRule>
  </conditionalFormatting>
  <conditionalFormatting sqref="E7:I11">
    <cfRule type="expression" dxfId="190" priority="85">
      <formula>$N7=0</formula>
    </cfRule>
  </conditionalFormatting>
  <conditionalFormatting sqref="I93">
    <cfRule type="expression" dxfId="189" priority="83" stopIfTrue="1">
      <formula>AND(NHTF_Request_Amount&gt;Max_NHTF,NHTF_Request_Amount&lt;&gt;"")</formula>
    </cfRule>
    <cfRule type="expression" dxfId="188" priority="84">
      <formula>AND(N(I93)&gt;0,N(I93)&lt;=$H91)</formula>
    </cfRule>
  </conditionalFormatting>
  <conditionalFormatting sqref="B84:I85 B91:I94 J88 B86:H90">
    <cfRule type="expression" dxfId="187" priority="82">
      <formula>$K$93=0</formula>
    </cfRule>
  </conditionalFormatting>
  <conditionalFormatting sqref="B69:I73 B61:I63 B64:H68">
    <cfRule type="expression" dxfId="186" priority="74">
      <formula>$K$72=0</formula>
    </cfRule>
  </conditionalFormatting>
  <conditionalFormatting sqref="I72">
    <cfRule type="cellIs" dxfId="185" priority="61" stopIfTrue="1" operator="greaterThan">
      <formula>$H70</formula>
    </cfRule>
    <cfRule type="expression" dxfId="184" priority="62">
      <formula>AND(N(I72)&gt;0,N(I72)&lt;=$H70)</formula>
    </cfRule>
  </conditionalFormatting>
  <conditionalFormatting sqref="E70:I70">
    <cfRule type="expression" dxfId="183" priority="55">
      <formula>ARP_Request_Amount&gt;Max_ARP</formula>
    </cfRule>
  </conditionalFormatting>
  <conditionalFormatting sqref="D76:I76">
    <cfRule type="expression" dxfId="182" priority="52">
      <formula>Grant_Request_Amount&gt;Max_Grant</formula>
    </cfRule>
  </conditionalFormatting>
  <conditionalFormatting sqref="E91:I91">
    <cfRule type="expression" dxfId="181" priority="51">
      <formula>AND(NHTF_Request_Amount&gt;Max_NHTF,NHTF_Request_Amount&lt;&gt;"")</formula>
    </cfRule>
  </conditionalFormatting>
  <conditionalFormatting sqref="E13:I13">
    <cfRule type="expression" dxfId="180" priority="50">
      <formula>Workforce_Request_Amount&gt;Max_Workforce</formula>
    </cfRule>
  </conditionalFormatting>
  <conditionalFormatting sqref="I13">
    <cfRule type="expression" dxfId="179" priority="49">
      <formula>$K$15=0</formula>
    </cfRule>
  </conditionalFormatting>
  <conditionalFormatting sqref="I32">
    <cfRule type="expression" dxfId="178" priority="48">
      <formula>$K$34=0</formula>
    </cfRule>
  </conditionalFormatting>
  <conditionalFormatting sqref="E32:I32">
    <cfRule type="expression" dxfId="177" priority="47">
      <formula>SAIL_Request_Amount&gt;Max_SAIL</formula>
    </cfRule>
  </conditionalFormatting>
  <conditionalFormatting sqref="I40">
    <cfRule type="expression" dxfId="176" priority="46">
      <formula>$K$42=0</formula>
    </cfRule>
  </conditionalFormatting>
  <conditionalFormatting sqref="E40:I40">
    <cfRule type="expression" dxfId="175" priority="45">
      <formula>ELI_Request_Amount&gt;Max_ELI</formula>
    </cfRule>
  </conditionalFormatting>
  <conditionalFormatting sqref="I57">
    <cfRule type="expression" dxfId="174" priority="44">
      <formula>$K$59=0</formula>
    </cfRule>
  </conditionalFormatting>
  <conditionalFormatting sqref="E57:I57">
    <cfRule type="expression" dxfId="173" priority="43">
      <formula>HOME_Request_Amount&gt;Max_HOME</formula>
    </cfRule>
  </conditionalFormatting>
  <conditionalFormatting sqref="I70">
    <cfRule type="expression" dxfId="172" priority="42">
      <formula>$K$72=0</formula>
    </cfRule>
  </conditionalFormatting>
  <conditionalFormatting sqref="I76">
    <cfRule type="expression" dxfId="171" priority="41">
      <formula>$K$78=0</formula>
    </cfRule>
  </conditionalFormatting>
  <conditionalFormatting sqref="I91">
    <cfRule type="expression" dxfId="170" priority="40">
      <formula>$K$93=0</formula>
    </cfRule>
  </conditionalFormatting>
  <conditionalFormatting sqref="I102">
    <cfRule type="expression" dxfId="169" priority="39">
      <formula>$K$104=0</formula>
    </cfRule>
  </conditionalFormatting>
  <conditionalFormatting sqref="E102:I102">
    <cfRule type="expression" dxfId="168" priority="38">
      <formula>TBD_Request_Amount&gt;Max_TBD</formula>
    </cfRule>
  </conditionalFormatting>
  <conditionalFormatting sqref="I123">
    <cfRule type="expression" dxfId="167" priority="37">
      <formula>$K$125=0</formula>
    </cfRule>
  </conditionalFormatting>
  <conditionalFormatting sqref="E123:I123">
    <cfRule type="expression" dxfId="166" priority="36">
      <formula>Competitive_HC_Request_Amount&gt;Max_Competitive_HC</formula>
    </cfRule>
  </conditionalFormatting>
  <conditionalFormatting sqref="C132">
    <cfRule type="expression" dxfId="165" priority="14">
      <formula>$K$130=0</formula>
    </cfRule>
  </conditionalFormatting>
  <conditionalFormatting sqref="C177">
    <cfRule type="expression" dxfId="164" priority="13">
      <formula>$K$130=0</formula>
    </cfRule>
  </conditionalFormatting>
  <conditionalFormatting sqref="C183">
    <cfRule type="expression" dxfId="163" priority="12">
      <formula>$K$130=0</formula>
    </cfRule>
  </conditionalFormatting>
  <conditionalFormatting sqref="B228:I231">
    <cfRule type="expression" dxfId="162" priority="990">
      <formula>$K$230=0</formula>
    </cfRule>
  </conditionalFormatting>
  <conditionalFormatting sqref="B258:I260">
    <cfRule type="expression" dxfId="161" priority="995">
      <formula>$M$258=0</formula>
    </cfRule>
  </conditionalFormatting>
  <conditionalFormatting sqref="B265:I268">
    <cfRule type="expression" dxfId="160" priority="996">
      <formula>$M$265=0</formula>
    </cfRule>
  </conditionalFormatting>
  <conditionalFormatting sqref="B281:I283">
    <cfRule type="expression" dxfId="159" priority="997">
      <formula>$M$281=0</formula>
    </cfRule>
  </conditionalFormatting>
  <conditionalFormatting sqref="B284:I286">
    <cfRule type="expression" dxfId="158" priority="998">
      <formula>$M$284=0</formula>
    </cfRule>
  </conditionalFormatting>
  <conditionalFormatting sqref="B287:I290">
    <cfRule type="expression" dxfId="157" priority="999">
      <formula>$M$287=0</formula>
    </cfRule>
  </conditionalFormatting>
  <conditionalFormatting sqref="B266:I267">
    <cfRule type="expression" dxfId="156" priority="1000">
      <formula>$M$266=0</formula>
    </cfRule>
  </conditionalFormatting>
  <conditionalFormatting sqref="B259:I259">
    <cfRule type="expression" dxfId="155" priority="1001">
      <formula>$M$259=0</formula>
    </cfRule>
  </conditionalFormatting>
  <conditionalFormatting sqref="B275:I276">
    <cfRule type="expression" dxfId="154" priority="1002">
      <formula>$M$275=0</formula>
    </cfRule>
  </conditionalFormatting>
  <conditionalFormatting sqref="B273:I274">
    <cfRule type="expression" dxfId="153" priority="1003">
      <formula>$M$273=0</formula>
    </cfRule>
  </conditionalFormatting>
  <conditionalFormatting sqref="B262:I263">
    <cfRule type="expression" dxfId="152" priority="1004">
      <formula>$M$262=0</formula>
    </cfRule>
  </conditionalFormatting>
  <conditionalFormatting sqref="B261:I264">
    <cfRule type="expression" dxfId="151" priority="1005">
      <formula>$M$261=0</formula>
    </cfRule>
  </conditionalFormatting>
  <conditionalFormatting sqref="B269:I272">
    <cfRule type="expression" dxfId="150" priority="1006">
      <formula>$M$269=0</formula>
    </cfRule>
  </conditionalFormatting>
  <conditionalFormatting sqref="B270:I271">
    <cfRule type="expression" dxfId="149" priority="1007">
      <formula>$M$270=0</formula>
    </cfRule>
  </conditionalFormatting>
  <conditionalFormatting sqref="B277:I278">
    <cfRule type="expression" dxfId="148" priority="1008">
      <formula>$M$277=0</formula>
    </cfRule>
  </conditionalFormatting>
  <conditionalFormatting sqref="A250:I253">
    <cfRule type="expression" dxfId="147" priority="11">
      <formula>-$K$250=0</formula>
    </cfRule>
  </conditionalFormatting>
  <conditionalFormatting sqref="B199:I206">
    <cfRule type="expression" dxfId="146" priority="256">
      <formula>$M$199=0</formula>
    </cfRule>
  </conditionalFormatting>
  <conditionalFormatting sqref="B255:I255">
    <cfRule type="cellIs" dxfId="145" priority="7" operator="notEqual">
      <formula>""</formula>
    </cfRule>
  </conditionalFormatting>
  <conditionalFormatting sqref="B279:I280">
    <cfRule type="expression" dxfId="144" priority="3">
      <formula>$M$279=0</formula>
    </cfRule>
  </conditionalFormatting>
  <conditionalFormatting sqref="B192:I206">
    <cfRule type="expression" dxfId="143" priority="182">
      <formula>$M$192=0</formula>
    </cfRule>
  </conditionalFormatting>
  <conditionalFormatting sqref="A254:I290">
    <cfRule type="expression" dxfId="142" priority="1350">
      <formula>$M$254=0</formula>
    </cfRule>
  </conditionalFormatting>
  <dataValidations count="6">
    <dataValidation type="list" allowBlank="1" showDropDown="1" showErrorMessage="1" error="To select this Resident Program, type in &quot;x&quot;." sqref="D209:D210" xr:uid="{1C498113-AA7A-48D0-87DE-C37FA210BFE4}">
      <formula1>"x,X"</formula1>
    </dataValidation>
    <dataValidation type="whole" allowBlank="1" showErrorMessage="1" error="Input is restricted to a whole number" sqref="I42 I125 I59 I78" xr:uid="{7850E506-882B-4D38-AE7D-77BD6B999207}">
      <formula1>DS_Request_Minimum</formula1>
      <formula2>DS_Request_Maximum</formula2>
    </dataValidation>
    <dataValidation type="whole" allowBlank="1" showErrorMessage="1" errorTitle="Entry limited to maximum allowed" error="The entry for the Applicant's SAIL Request Amount cannot exceed the lesser of the Per Development limit or the Per Unit limit as indicated." sqref="I34" xr:uid="{782FA013-8511-4478-999B-AC0A155E7E93}">
      <formula1>0</formula1>
      <formula2>Max_SAIL</formula2>
    </dataValidation>
    <dataValidation type="custom" allowBlank="1" showInputMessage="1" showErrorMessage="1" sqref="K15 K34 K42 K141:K143 K59 K78 K104 K209:K210 K127 K130 K134 K139 K152 K169 K172 K179 K136 K80 K240 K244 K93 K125 K156 K160 K72 K202:K205 K175 K248 M208 K162:K164 K181 K49:K54 K230 K233 K196:K197 M254 K250 K185 N49:N53" xr:uid="{7D3A3F00-6AB4-4F7D-8734-CC839EC088E6}">
      <formula1>AND(K15&gt;=0,K15&lt;3,K15=ROUND(K15,0))</formula1>
    </dataValidation>
    <dataValidation type="whole" allowBlank="1" showInputMessage="1" showErrorMessage="1" error="Input is restricted to a whole number " sqref="I15" xr:uid="{57F39ABF-7D99-4EB9-9363-D17F08325EA6}">
      <formula1>DS_Request_Minimum</formula1>
      <formula2>DS_Request_Maximum</formula2>
    </dataValidation>
    <dataValidation type="whole" allowBlank="1" showInputMessage="1" showErrorMessage="1" error="Input is restricted to a whole number" sqref="I72 I104 I127 I185 H202:H205" xr:uid="{FE1B6539-2F58-4842-84F5-5E75AA16E64A}">
      <formula1>DS_Request_Minimum</formula1>
      <formula2>DS_Request_Maximum</formula2>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3" r:id="rId4" name="Check Box 7">
              <controlPr locked="0" defaultSize="0" print="0" autoFill="0" autoLine="0" autoPict="0">
                <anchor moveWithCells="1">
                  <from>
                    <xdr:col>3</xdr:col>
                    <xdr:colOff>60960</xdr:colOff>
                    <xdr:row>207</xdr:row>
                    <xdr:rowOff>541020</xdr:rowOff>
                  </from>
                  <to>
                    <xdr:col>4</xdr:col>
                    <xdr:colOff>670560</xdr:colOff>
                    <xdr:row>211</xdr:row>
                    <xdr:rowOff>0</xdr:rowOff>
                  </to>
                </anchor>
              </controlPr>
            </control>
          </mc:Choice>
        </mc:AlternateContent>
        <mc:AlternateContent xmlns:mc="http://schemas.openxmlformats.org/markup-compatibility/2006">
          <mc:Choice Requires="x14">
            <control shapeId="34824" r:id="rId5" name="Check Box 8">
              <controlPr locked="0" defaultSize="0" print="0" autoFill="0" autoLine="0" autoPict="0">
                <anchor moveWithCells="1">
                  <from>
                    <xdr:col>3</xdr:col>
                    <xdr:colOff>45720</xdr:colOff>
                    <xdr:row>208</xdr:row>
                    <xdr:rowOff>213360</xdr:rowOff>
                  </from>
                  <to>
                    <xdr:col>4</xdr:col>
                    <xdr:colOff>655320</xdr:colOff>
                    <xdr:row>211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9" id="{B4BF2410-56DC-45A9-9141-0866D881F7D3}">
            <xm:f>$G$157="The QCT is in the "&amp;County&amp;" County HUD "&amp;LEFT(Data2!$F$22,4)&amp;" Non-Metro QCT database."</xm:f>
            <x14:dxf>
              <font>
                <color rgb="FF7030A0"/>
              </font>
              <fill>
                <patternFill>
                  <bgColor rgb="FF99FF99"/>
                </patternFill>
              </fill>
            </x14:dxf>
          </x14:cfRule>
          <xm:sqref>G157:I157</xm:sqref>
        </x14:conditionalFormatting>
        <x14:conditionalFormatting xmlns:xm="http://schemas.microsoft.com/office/excel/2006/main">
          <x14:cfRule type="expression" priority="198" id="{15237086-CB5A-47BA-B992-428F393C6524}">
            <xm:f>$G$156="The QCT is in the "&amp;County&amp;" County HUD "&amp;LEFT(Data2!$F$22,4)&amp;" Metro QCT database."</xm:f>
            <x14:dxf>
              <font>
                <color rgb="FF7030A0"/>
              </font>
              <fill>
                <patternFill>
                  <bgColor rgb="FF99FF99"/>
                </patternFill>
              </fill>
            </x14:dxf>
          </x14:cfRule>
          <xm:sqref>G156:I156</xm:sqref>
        </x14:conditionalFormatting>
        <x14:conditionalFormatting xmlns:xm="http://schemas.microsoft.com/office/excel/2006/main">
          <x14:cfRule type="expression" priority="135" id="{42F10C38-1659-45F1-8D38-CC4396447A17}">
            <xm:f>Data1!$E$509="Yes"</xm:f>
            <x14:dxf>
              <font>
                <color theme="0"/>
              </font>
              <fill>
                <patternFill>
                  <bgColor theme="0"/>
                </patternFill>
              </fill>
              <border>
                <left/>
                <right/>
                <top/>
                <bottom/>
                <vertical/>
                <horizontal/>
              </border>
            </x14:dxf>
          </x14:cfRule>
          <xm:sqref>N7:P11 K15:M15 N20:P30 K34:M34 K42:M42 K49:N53 K59:M59 K72:M72 K78:M78 K80:M80 N86:P89 K93:M93 K104:M104 N111:P121 K125:M125 K127:M127 K130:M130 K134:M134 K136:M136 K139:M139 K141:M143 K147:M147 M148 K152:M152 K156:M157 K160:M160 K162:M164 K169:M169 K172:M172 K175:M175 K179:M179 K181:M181 K185:M185 M192 K196:M197 M199 K201:M205 M208 K209:M210 M215 M218 M220 K230:M230 M232 K240:M240 K244:M244 K248:M248 K250:M250 M258:N259 M261:N262 M265:N266 M269:N270 M273:N273 M275:N275 M277:N277 M284 M287 M291 M289 M281 M279:N279 M254</xm:sqref>
        </x14:conditionalFormatting>
        <x14:conditionalFormatting xmlns:xm="http://schemas.microsoft.com/office/excel/2006/main">
          <x14:cfRule type="expression" priority="278" id="{00000000-000E-0000-1100-00000B010000}">
            <xm:f>Data1!$B480=TRUE</xm:f>
            <x14:dxf>
              <fill>
                <patternFill>
                  <bgColor theme="9" tint="0.79998168889431442"/>
                </patternFill>
              </fill>
            </x14:dxf>
          </x14:cfRule>
          <xm:sqref>D209:I210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D575AB2E-7EE2-4316-8AF5-66943E25F8C1}">
          <x14:formula1>
            <xm:f>Data2!$D$48:$D$50</xm:f>
          </x14:formula1>
          <xm:sqref>E139:F139 I252 I230 D240:F240 E152:F152 E160:F160 E130:F130 I80 E134:F134 D244:F244 E179:F179 E172:F172 E169:F169</xm:sqref>
        </x14:dataValidation>
        <x14:dataValidation type="list" allowBlank="1" showInputMessage="1" showErrorMessage="1" xr:uid="{BDAD33C0-739A-4990-8403-E56557BB17B4}">
          <x14:formula1>
            <xm:f>Data2!$D$59:$D$62</xm:f>
          </x14:formula1>
          <xm:sqref>E181:F181</xm:sqref>
        </x14:dataValidation>
        <x14:dataValidation type="list" allowBlank="1" showInputMessage="1" showErrorMessage="1" xr:uid="{1659354A-BAFB-4DD3-8DDF-2C761347A0E9}">
          <x14:formula1>
            <xm:f>Data2!$D$65:$D$68</xm:f>
          </x14:formula1>
          <xm:sqref>E175:G175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dimension ref="A1:K34"/>
  <sheetViews>
    <sheetView showGridLines="0" zoomScaleNormal="100" workbookViewId="0">
      <selection activeCell="J3" sqref="J3"/>
    </sheetView>
  </sheetViews>
  <sheetFormatPr defaultColWidth="8.5546875" defaultRowHeight="14.4"/>
  <cols>
    <col min="1" max="1" width="3" style="42" customWidth="1"/>
    <col min="2" max="3" width="3.5546875" style="42" customWidth="1"/>
    <col min="4" max="4" width="4.44140625" style="42" customWidth="1"/>
    <col min="5" max="5" width="8.5546875" style="42"/>
    <col min="6" max="6" width="12.5546875" style="42" customWidth="1"/>
    <col min="7" max="8" width="18.44140625" style="42" customWidth="1"/>
    <col min="9" max="9" width="19.5546875" style="42" customWidth="1"/>
    <col min="10" max="10" width="19.33203125" style="42" customWidth="1"/>
    <col min="11" max="16384" width="8.5546875" style="42"/>
  </cols>
  <sheetData>
    <row r="1" spans="1:11" ht="35.85" customHeight="1" thickBot="1">
      <c r="A1" s="1714" t="s">
        <v>1937</v>
      </c>
      <c r="B1" s="1715"/>
      <c r="C1" s="1715"/>
      <c r="D1" s="1715"/>
      <c r="E1" s="1715"/>
      <c r="F1" s="1715"/>
      <c r="G1" s="1715"/>
      <c r="H1" s="1715"/>
      <c r="I1" s="1715"/>
      <c r="J1" s="1716"/>
      <c r="K1" s="64"/>
    </row>
    <row r="2" spans="1:11" ht="14.4" customHeight="1">
      <c r="A2" s="4"/>
      <c r="B2" s="4"/>
      <c r="C2" s="4"/>
      <c r="D2" s="4"/>
      <c r="E2" s="4"/>
      <c r="F2" s="4"/>
      <c r="G2" s="4"/>
    </row>
    <row r="3" spans="1:11" ht="17.399999999999999" customHeight="1">
      <c r="A3" s="1848" t="s">
        <v>903</v>
      </c>
      <c r="B3" s="1848"/>
      <c r="C3" s="1848"/>
      <c r="D3" s="1848"/>
      <c r="E3" s="1848"/>
      <c r="F3" s="1848"/>
      <c r="G3" s="1848"/>
      <c r="H3" s="1848"/>
      <c r="I3" s="1848"/>
      <c r="J3" s="399" t="s">
        <v>2</v>
      </c>
    </row>
    <row r="4" spans="1:11" ht="10.35" customHeight="1">
      <c r="A4" s="4"/>
      <c r="B4" s="4"/>
      <c r="C4" s="4"/>
      <c r="D4" s="4"/>
      <c r="E4" s="4"/>
      <c r="F4" s="4"/>
      <c r="G4" s="4"/>
    </row>
    <row r="5" spans="1:11" ht="30" customHeight="1">
      <c r="A5" s="1829" t="s">
        <v>450</v>
      </c>
      <c r="B5" s="1829"/>
      <c r="C5" s="1829"/>
      <c r="D5" s="1829"/>
      <c r="E5" s="1829"/>
      <c r="F5" s="1829"/>
      <c r="G5" s="1829"/>
      <c r="H5" s="1829"/>
      <c r="I5" s="1829"/>
      <c r="J5" s="1829"/>
    </row>
    <row r="6" spans="1:11" ht="10.35" customHeight="1">
      <c r="A6" s="72"/>
      <c r="B6" s="410"/>
      <c r="C6" s="410"/>
      <c r="D6" s="410"/>
      <c r="E6" s="410"/>
      <c r="F6" s="410"/>
      <c r="G6" s="410"/>
      <c r="H6" s="411"/>
      <c r="I6" s="411"/>
      <c r="J6" s="411"/>
    </row>
    <row r="7" spans="1:11" ht="43.35" customHeight="1">
      <c r="A7" s="1833" t="s">
        <v>914</v>
      </c>
      <c r="B7" s="1833"/>
      <c r="C7" s="1833"/>
      <c r="D7" s="1833"/>
      <c r="E7" s="1833"/>
      <c r="F7" s="1833"/>
      <c r="G7" s="1833"/>
      <c r="H7" s="1833"/>
      <c r="I7" s="1833"/>
      <c r="J7" s="1833"/>
    </row>
    <row r="8" spans="1:11" ht="10.35" customHeight="1">
      <c r="A8" s="72"/>
      <c r="B8" s="410"/>
      <c r="C8" s="410"/>
      <c r="D8" s="410"/>
      <c r="E8" s="410"/>
      <c r="F8" s="410"/>
      <c r="G8" s="410"/>
      <c r="H8" s="411"/>
      <c r="I8" s="411"/>
      <c r="J8" s="411"/>
    </row>
    <row r="9" spans="1:11" ht="17.399999999999999" customHeight="1" thickBot="1">
      <c r="B9" s="413" t="s">
        <v>905</v>
      </c>
      <c r="C9" s="414"/>
      <c r="D9" s="414"/>
      <c r="E9" s="414"/>
      <c r="F9" s="414"/>
      <c r="G9" s="419" t="s">
        <v>906</v>
      </c>
      <c r="H9" s="419" t="s">
        <v>907</v>
      </c>
      <c r="I9" s="420" t="s">
        <v>908</v>
      </c>
      <c r="J9" s="411"/>
    </row>
    <row r="10" spans="1:11" ht="17.399999999999999" customHeight="1">
      <c r="B10" s="415" t="s">
        <v>909</v>
      </c>
      <c r="C10" s="416"/>
      <c r="D10" s="416"/>
      <c r="E10" s="416"/>
      <c r="F10" s="416"/>
      <c r="G10" s="432"/>
      <c r="H10" s="432"/>
      <c r="I10" s="421">
        <f>N(G10)-N(H10)</f>
        <v>0</v>
      </c>
      <c r="J10" s="411"/>
    </row>
    <row r="11" spans="1:11" ht="17.399999999999999" customHeight="1">
      <c r="B11" s="417" t="s">
        <v>910</v>
      </c>
      <c r="C11" s="418"/>
      <c r="D11" s="418"/>
      <c r="E11" s="418"/>
      <c r="F11" s="418"/>
      <c r="G11" s="433"/>
      <c r="H11" s="427"/>
      <c r="I11" s="422">
        <f>N(G11)-N(H11)</f>
        <v>0</v>
      </c>
      <c r="J11" s="411"/>
    </row>
    <row r="12" spans="1:11" ht="17.399999999999999" customHeight="1">
      <c r="B12" s="417" t="s">
        <v>911</v>
      </c>
      <c r="C12" s="418"/>
      <c r="D12" s="418"/>
      <c r="E12" s="418"/>
      <c r="F12" s="418"/>
      <c r="G12" s="433"/>
      <c r="H12" s="428"/>
      <c r="I12" s="422">
        <f>N(G12)-N(H12)</f>
        <v>0</v>
      </c>
      <c r="J12" s="411"/>
    </row>
    <row r="13" spans="1:11" ht="17.399999999999999" customHeight="1">
      <c r="B13" s="417" t="s">
        <v>912</v>
      </c>
      <c r="C13" s="418"/>
      <c r="D13" s="418"/>
      <c r="E13" s="418"/>
      <c r="F13" s="418"/>
      <c r="G13" s="433"/>
      <c r="H13" s="434"/>
      <c r="I13" s="422">
        <f>N(G13)-N(H13)</f>
        <v>0</v>
      </c>
      <c r="J13" s="411"/>
    </row>
    <row r="14" spans="1:11" ht="5.0999999999999996" customHeight="1" thickBot="1">
      <c r="B14" s="412"/>
      <c r="C14" s="410"/>
      <c r="D14" s="410"/>
      <c r="E14" s="410"/>
      <c r="F14" s="410"/>
      <c r="G14" s="1199"/>
      <c r="H14" s="1199"/>
      <c r="I14" s="429"/>
      <c r="J14" s="411"/>
    </row>
    <row r="15" spans="1:11" ht="17.399999999999999" customHeight="1" thickTop="1">
      <c r="B15" s="423" t="s">
        <v>913</v>
      </c>
      <c r="C15" s="424"/>
      <c r="D15" s="424"/>
      <c r="E15" s="424"/>
      <c r="F15" s="424"/>
      <c r="G15" s="425">
        <f>SUM(G10:G14)</f>
        <v>0</v>
      </c>
      <c r="H15" s="425">
        <f>SUM(H10:H14)</f>
        <v>0</v>
      </c>
      <c r="I15" s="426">
        <f>SUM(I10:I14)</f>
        <v>0</v>
      </c>
      <c r="J15" s="411"/>
    </row>
    <row r="16" spans="1:11" ht="10.35" customHeight="1">
      <c r="A16" s="72"/>
      <c r="B16" s="410"/>
      <c r="C16" s="410"/>
      <c r="D16" s="410"/>
      <c r="E16" s="410"/>
      <c r="F16" s="410"/>
      <c r="G16" s="410"/>
      <c r="H16" s="411"/>
      <c r="I16" s="411"/>
      <c r="J16" s="411"/>
    </row>
    <row r="17" spans="1:10" ht="54" customHeight="1">
      <c r="A17" s="1829" t="str">
        <f>"Based on the selected Development Category of "&amp;IF(Development_Category="&lt;select one&gt;","(not yet selected)",Development_Category)&amp;", the Applicant "&amp;IF(OR(Development_Category="Rehabilitation",Development_Category="Acquisition and Rehabilitation",Development_Category="Preservation",Development_Category="Acquisition and Preservation"),"will automatically receive the maximum points.",IF(Development_Category="&lt;select one&gt;","is still dependent upon the Development Category to be selected on whether or not it will automatically earn the maximum points.","does NOT automatically receive the maximum points.")&amp;" In order for the Applicant to receive the maximum of five points without an automatic qualifiction, the applicble Local Government Verification of Contribution form(s) "&amp;"provided as evidence of Local Government grant(s), loan(s), fee waiver(s) and/or fee deferral(s) "&amp;"meeting the eligibility criteria for such contriubtions must have "&amp;IF(Data1!B496="Face","a face amount(s) of the commitment(s)",IF(Data1!B496="NPV","a total amount calculated by taking the face amount of the commitment(s) minus the net present value of the commitment(s) (per RFA guidelines)","TBD"))&amp;" with a cumulative total dollar amount equal to or greater than "&amp;TEXT(IFERROR(VLOOKUP(County,DS_CountyData,3),"TBD"),"$#,##0")&amp;".  Applicants that do not have the necessary contribution amount to achieve maximum points will be scored on a pro-rata basis.")</f>
        <v>Based on the selected Development Category of New Construction, the Applicant does NOT automatically receive the maximum points. In order for the Applicant to receive the maximum of five points without an automatic qualifiction, the applicble Local Government Verification of Contribution form(s) provided as evidence of Local Government grant(s), loan(s), fee waiver(s) and/or fee deferral(s) meeting the eligibility criteria for such contriubtions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B17" s="1829"/>
      <c r="C17" s="1829"/>
      <c r="D17" s="1829"/>
      <c r="E17" s="1829"/>
      <c r="F17" s="1829"/>
      <c r="G17" s="1829"/>
      <c r="H17" s="1829"/>
      <c r="I17" s="1829"/>
      <c r="J17" s="1829"/>
    </row>
    <row r="18" spans="1:10" ht="54" customHeight="1">
      <c r="A18" s="1829"/>
      <c r="B18" s="1829"/>
      <c r="C18" s="1829"/>
      <c r="D18" s="1829"/>
      <c r="E18" s="1829"/>
      <c r="F18" s="1829"/>
      <c r="G18" s="1829"/>
      <c r="H18" s="1829"/>
      <c r="I18" s="1829"/>
      <c r="J18" s="1829"/>
    </row>
    <row r="19" spans="1:10" ht="10.35" customHeight="1"/>
    <row r="20" spans="1:10" ht="29.1" customHeight="1">
      <c r="A20" s="2066" t="str">
        <f>"Based on the above information, it appears the Applicant would receive a total of "&amp;TEXT(IF(OR(Development_Category="Rehabilitation",Development_Category="Acquisition and Rehabilitation",Development_Category="Preservation",Development_Category="Acquisition and Preservation"),5,ROUND(5*IF(Data1!B496="Face",G15,I15)/IF(IFERROR(VLOOKUP(County,DS_CountyData,3),1)="NA",1,IFERROR(VLOOKUP(County,DS_CountyData,3),1)),2)),"0.00")&amp;" points towards the 5-point Local Government Contribution Points."</f>
        <v>Based on the above information, it appears the Applicant would receive a total of 0.00 points towards the 5-point Local Government Contribution Points.</v>
      </c>
      <c r="B20" s="2066"/>
      <c r="C20" s="2066"/>
      <c r="D20" s="2066"/>
      <c r="E20" s="2066"/>
      <c r="F20" s="2066"/>
      <c r="G20" s="2066"/>
      <c r="H20" s="2066"/>
      <c r="I20" s="2066"/>
      <c r="J20" s="2066"/>
    </row>
    <row r="21" spans="1:10" ht="10.35" customHeight="1"/>
    <row r="22" spans="1:10">
      <c r="A22" s="430" t="s">
        <v>915</v>
      </c>
    </row>
    <row r="23" spans="1:10" ht="78" customHeight="1">
      <c r="A23" s="2056" t="str">
        <f>"Qualifications for the Local Government Areas of Opportunity Designation include a demonstration of a high level of interest in the development"&amp;" via an increased amont of Local Government contributions in the form of cash loans and/or cash grants with a minium total amount of "&amp;TEXT(IFERROR(VLOOKUP(County,DS_CountyData,4),"TBD"),"$#,##0")&amp;" for "&amp;IF(County="&lt;select one&gt;","(not yet selected)",County)&amp;" County. In addition, a Local Government can only contribute to one Application that qualifies for the Local Government Area of Opportunity Designation. "&amp;"Please enter the name(s) of the Local Government(s) below that contributed cash loans and/or cash grants to earn the designation for the proposed Development as well as the amounts."</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below that contributed cash loans and/or cash grants to earn the designation for the proposed Development as well as the amounts.</v>
      </c>
      <c r="B23" s="2056"/>
      <c r="C23" s="2056"/>
      <c r="D23" s="2056"/>
      <c r="E23" s="2056"/>
      <c r="F23" s="2056"/>
      <c r="G23" s="2056"/>
      <c r="H23" s="2056"/>
      <c r="I23" s="2056"/>
      <c r="J23" s="2056"/>
    </row>
    <row r="24" spans="1:10" ht="10.35" customHeight="1"/>
    <row r="25" spans="1:10" ht="15" customHeight="1" thickBot="1">
      <c r="B25" s="2062" t="s">
        <v>916</v>
      </c>
      <c r="C25" s="2063"/>
      <c r="D25" s="2063"/>
      <c r="E25" s="2063"/>
      <c r="F25" s="2063"/>
      <c r="G25" s="2063"/>
      <c r="H25" s="419" t="s">
        <v>920</v>
      </c>
      <c r="I25" s="420" t="s">
        <v>921</v>
      </c>
      <c r="J25" s="420" t="s">
        <v>919</v>
      </c>
    </row>
    <row r="26" spans="1:10">
      <c r="B26" s="2064"/>
      <c r="C26" s="2065"/>
      <c r="D26" s="2065"/>
      <c r="E26" s="2065"/>
      <c r="F26" s="2065"/>
      <c r="G26" s="2065"/>
      <c r="H26" s="444"/>
      <c r="I26" s="445"/>
      <c r="J26" s="441">
        <f>SUM(H26:I26)</f>
        <v>0</v>
      </c>
    </row>
    <row r="27" spans="1:10">
      <c r="B27" s="2059"/>
      <c r="C27" s="2060"/>
      <c r="D27" s="2060"/>
      <c r="E27" s="2060"/>
      <c r="F27" s="2060"/>
      <c r="G27" s="2060"/>
      <c r="H27" s="446"/>
      <c r="I27" s="447"/>
      <c r="J27" s="442">
        <f>SUM(H27:I27)</f>
        <v>0</v>
      </c>
    </row>
    <row r="28" spans="1:10">
      <c r="B28" s="2059"/>
      <c r="C28" s="2060"/>
      <c r="D28" s="2060"/>
      <c r="E28" s="2060"/>
      <c r="F28" s="2060"/>
      <c r="G28" s="2060"/>
      <c r="H28" s="446"/>
      <c r="I28" s="447"/>
      <c r="J28" s="442">
        <f>SUM(H28:I28)</f>
        <v>0</v>
      </c>
    </row>
    <row r="29" spans="1:10">
      <c r="B29" s="2059"/>
      <c r="C29" s="2060"/>
      <c r="D29" s="2060"/>
      <c r="E29" s="2060"/>
      <c r="F29" s="2060"/>
      <c r="G29" s="2060"/>
      <c r="H29" s="446"/>
      <c r="I29" s="447"/>
      <c r="J29" s="442">
        <f>SUM(H29:I29)</f>
        <v>0</v>
      </c>
    </row>
    <row r="30" spans="1:10" ht="5.0999999999999996" customHeight="1" thickBot="1">
      <c r="B30" s="436"/>
      <c r="C30" s="4"/>
      <c r="D30" s="4"/>
      <c r="E30" s="4"/>
      <c r="F30" s="4"/>
      <c r="G30" s="4"/>
      <c r="H30" s="4"/>
      <c r="I30" s="437"/>
      <c r="J30" s="443"/>
    </row>
    <row r="31" spans="1:10" ht="15" thickTop="1">
      <c r="B31" s="438"/>
      <c r="C31" s="435"/>
      <c r="D31" s="435"/>
      <c r="E31" s="435"/>
      <c r="F31" s="435"/>
      <c r="G31" s="435"/>
      <c r="H31" s="439">
        <f>SUM(H26:H30)</f>
        <v>0</v>
      </c>
      <c r="I31" s="440">
        <f>SUM(I26:I30)</f>
        <v>0</v>
      </c>
      <c r="J31" s="440">
        <f>SUM(J26:J30)</f>
        <v>0</v>
      </c>
    </row>
    <row r="32" spans="1:10" ht="10.35" customHeight="1"/>
    <row r="33" spans="1:10" ht="31.35" customHeight="1">
      <c r="A33" s="2061" t="str">
        <f>"Based on the above information, it appears the Applicant does "&amp;IF(J31&gt;=IFERROR(VLOOKUP(County,DS_CountyData,4),10000000),"","NOT ")&amp;"qualify for the Local Government Area of Opportunity Designation."</f>
        <v>Based on the above information, it appears the Applicant does NOT qualify for the Local Government Area of Opportunity Designation.</v>
      </c>
      <c r="B33" s="2054"/>
      <c r="C33" s="2054"/>
      <c r="D33" s="2054"/>
      <c r="E33" s="2054"/>
      <c r="F33" s="2054"/>
      <c r="G33" s="2054"/>
      <c r="H33" s="2054"/>
      <c r="I33" s="2054"/>
      <c r="J33" s="2054"/>
    </row>
    <row r="34" spans="1:10" ht="10.35" customHeight="1"/>
  </sheetData>
  <sheetProtection algorithmName="SHA-512" hashValue="/o1ebBIVAqca48iBdyPXO5VzQB9RH38vD9sn3hHYSTCKdeDPDTKgviHIzKO1JnV5hYo5xfldMytsqPCULzOGew==" saltValue="hasnoA7IWGEPHpgF7p0VBw==" spinCount="100000" sheet="1" objects="1" scenarios="1" selectLockedCells="1"/>
  <mergeCells count="13">
    <mergeCell ref="A20:J20"/>
    <mergeCell ref="A1:J1"/>
    <mergeCell ref="A17:J18"/>
    <mergeCell ref="A5:J5"/>
    <mergeCell ref="A3:I3"/>
    <mergeCell ref="A7:J7"/>
    <mergeCell ref="B29:G29"/>
    <mergeCell ref="A33:J33"/>
    <mergeCell ref="A23:J23"/>
    <mergeCell ref="B25:G25"/>
    <mergeCell ref="B26:G26"/>
    <mergeCell ref="B27:G27"/>
    <mergeCell ref="B28:G28"/>
  </mergeCells>
  <conditionalFormatting sqref="J3">
    <cfRule type="cellIs" dxfId="137" priority="9" operator="notEqual">
      <formula>"&lt;select one&gt;"</formula>
    </cfRule>
  </conditionalFormatting>
  <conditionalFormatting sqref="G10:G13 H10 H13">
    <cfRule type="cellIs" dxfId="136" priority="8" operator="greaterThan">
      <formula>0</formula>
    </cfRule>
  </conditionalFormatting>
  <conditionalFormatting sqref="H26:I29">
    <cfRule type="cellIs" dxfId="135" priority="6" operator="greaterThan">
      <formula>0</formula>
    </cfRule>
  </conditionalFormatting>
  <conditionalFormatting sqref="B26:G29">
    <cfRule type="cellIs" dxfId="134" priority="5" operator="notEqual">
      <formula>""</formula>
    </cfRule>
  </conditionalFormatting>
  <conditionalFormatting sqref="J26:J29">
    <cfRule type="cellIs" dxfId="133" priority="7" operator="greaterThan">
      <formula>0</formula>
    </cfRule>
  </conditionalFormatting>
  <conditionalFormatting sqref="A33:J33">
    <cfRule type="expression" dxfId="132" priority="2">
      <formula>AND($J3="Yes",IF($J31&gt;=IFERROR(VLOOKUP(County,DS_CountyData,4),10000000),"","NOT")="NOT")</formula>
    </cfRule>
  </conditionalFormatting>
  <dataValidations count="1">
    <dataValidation type="list" allowBlank="1" showInputMessage="1" showErrorMessage="1" sqref="J3" xr:uid="{D09B4B7F-58DF-4CE5-B181-B03E123C6EC4}">
      <formula1>"&lt;select one&gt;, Yes, No"</formula1>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 id="{3E06F4D1-52F9-4F59-89A9-7944BEC01F9E}">
            <xm:f>IF(OR(Development_Category="Rehabilitation",Development_Category="Acquisition and Rehabilitation",Development_Category="Preservation",Development_Category="Acquisition and Preservation"),5,ROUND(5*IF(Data1!G540="Face",L15,N15)/IFERROR(VLOOKUP(County,DS_CountyData,3),1),2))=5</xm:f>
            <x14:dxf>
              <font>
                <b val="0"/>
                <i val="0"/>
              </font>
              <fill>
                <patternFill>
                  <bgColor theme="9" tint="0.79998168889431442"/>
                </patternFill>
              </fill>
            </x14:dxf>
          </x14:cfRule>
          <xm:sqref>F20:J20</xm:sqref>
        </x14:conditionalFormatting>
        <x14:conditionalFormatting xmlns:xm="http://schemas.microsoft.com/office/excel/2006/main">
          <x14:cfRule type="expression" priority="455" id="{B57CFCC4-370A-4C81-A993-BFFF248FFE3C}">
            <xm:f>Data1!$B$497="No"</xm:f>
            <x14:dxf>
              <font>
                <color theme="0"/>
              </font>
              <fill>
                <patternFill patternType="none">
                  <bgColor auto="1"/>
                </patternFill>
              </fill>
              <border>
                <left/>
                <right/>
                <top/>
                <bottom/>
                <vertical/>
                <horizontal/>
              </border>
            </x14:dxf>
          </x14:cfRule>
          <xm:sqref>A22:J33</xm:sqref>
        </x14:conditionalFormatting>
        <x14:conditionalFormatting xmlns:xm="http://schemas.microsoft.com/office/excel/2006/main">
          <x14:cfRule type="expression" priority="457" id="{3E06F4D1-52F9-4F59-89A9-7944BEC01F9E}">
            <xm:f>IF(OR(Development_Category="Rehabilitation",Development_Category="Acquisition and Rehabilitation",Development_Category="Preservation",Development_Category="Acquisition and Preservation"),5,ROUND(5*IF(Data1!B496="Face",G15,I15)/IFERROR(VLOOKUP(County,DS_CountyData,3),1),2))=5</xm:f>
            <x14:dxf>
              <font>
                <b val="0"/>
                <i val="0"/>
              </font>
              <fill>
                <patternFill>
                  <bgColor theme="9" tint="0.79998168889431442"/>
                </patternFill>
              </fill>
            </x14:dxf>
          </x14:cfRule>
          <xm:sqref>A20:C20</xm:sqref>
        </x14:conditionalFormatting>
        <x14:conditionalFormatting xmlns:xm="http://schemas.microsoft.com/office/excel/2006/main">
          <x14:cfRule type="expression" priority="460" id="{3E06F4D1-52F9-4F59-89A9-7944BEC01F9E}">
            <xm:f>IF(OR(Development_Category="Rehabilitation",Development_Category="Acquisition and Rehabilitation",Development_Category="Preservation",Development_Category="Acquisition and Preservation"),5,ROUND(5*IF(Data1!#REF!="Face",J15,L15)/IFERROR(VLOOKUP(County,DS_CountyData,3),1),2))=5</xm:f>
            <x14:dxf>
              <font>
                <b val="0"/>
                <i val="0"/>
              </font>
              <fill>
                <patternFill>
                  <bgColor theme="9" tint="0.79998168889431442"/>
                </patternFill>
              </fill>
            </x14:dxf>
          </x14:cfRule>
          <xm:sqref>D20:E20</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515"/>
  <sheetViews>
    <sheetView zoomScaleNormal="100" zoomScaleSheetLayoutView="100" zoomScalePageLayoutView="120" workbookViewId="0">
      <pane ySplit="1" topLeftCell="A2" activePane="bottomLeft" state="frozen"/>
      <selection activeCell="I30" sqref="I30:I31"/>
      <selection pane="bottomLeft" activeCell="H45" sqref="H45"/>
    </sheetView>
  </sheetViews>
  <sheetFormatPr defaultColWidth="9.44140625" defaultRowHeight="13.2"/>
  <cols>
    <col min="1" max="1" width="1.5546875" style="236" customWidth="1"/>
    <col min="2" max="2" width="3.5546875" style="236" customWidth="1"/>
    <col min="3" max="3" width="3.44140625" style="236" customWidth="1"/>
    <col min="4" max="4" width="2.5546875" style="236" customWidth="1"/>
    <col min="5" max="5" width="10.88671875" style="236" customWidth="1"/>
    <col min="6" max="6" width="19.5546875" style="236" customWidth="1"/>
    <col min="7" max="7" width="3.5546875" style="236" customWidth="1"/>
    <col min="8" max="8" width="14.44140625" style="236" customWidth="1"/>
    <col min="9" max="9" width="2.5546875" style="236" customWidth="1"/>
    <col min="10" max="10" width="3.5546875" style="236" customWidth="1"/>
    <col min="11" max="11" width="14.44140625" style="236" customWidth="1"/>
    <col min="12" max="12" width="2.5546875" style="236" customWidth="1"/>
    <col min="13" max="13" width="3.5546875" style="236" customWidth="1"/>
    <col min="14" max="14" width="14.44140625" style="236" customWidth="1"/>
    <col min="15" max="15" width="1.5546875" style="236" customWidth="1"/>
    <col min="16" max="16" width="9.33203125" style="236" customWidth="1"/>
    <col min="17" max="17" width="19" style="236" customWidth="1"/>
    <col min="18" max="18" width="9.44140625" style="236"/>
    <col min="19" max="20" width="11.5546875" style="236" customWidth="1"/>
    <col min="21" max="21" width="14" style="236" customWidth="1"/>
    <col min="22" max="22" width="20.5546875" style="236" customWidth="1"/>
    <col min="23" max="23" width="13.33203125" style="236" customWidth="1"/>
    <col min="24" max="24" width="15.88671875" style="236" customWidth="1"/>
    <col min="25" max="16384" width="9.44140625" style="236"/>
  </cols>
  <sheetData>
    <row r="1" spans="1:22" customFormat="1" ht="35.85" customHeight="1" thickBot="1">
      <c r="A1" s="2144" t="s">
        <v>1497</v>
      </c>
      <c r="B1" s="2145"/>
      <c r="C1" s="2145"/>
      <c r="D1" s="2145"/>
      <c r="E1" s="2145"/>
      <c r="F1" s="2145"/>
      <c r="G1" s="2145"/>
      <c r="H1" s="2145"/>
      <c r="I1" s="2145"/>
      <c r="J1" s="2145"/>
      <c r="K1" s="2145"/>
      <c r="L1" s="2145"/>
      <c r="M1" s="2145"/>
      <c r="N1" s="2145"/>
      <c r="O1" s="2145"/>
      <c r="P1" s="2146"/>
      <c r="Q1" s="735"/>
      <c r="R1" s="233"/>
      <c r="S1" s="233"/>
      <c r="T1" s="233"/>
      <c r="U1" s="233"/>
      <c r="V1" s="233"/>
    </row>
    <row r="2" spans="1:22">
      <c r="A2" s="243"/>
      <c r="B2" s="975" t="str">
        <f>DS_TabLeftFooter&amp;" DEVELOPMENT COST PRO FORMA"</f>
        <v>RFA 2022-109 DEVELOPMENT COST PRO FORMA</v>
      </c>
      <c r="C2" s="637"/>
      <c r="D2" s="727"/>
      <c r="E2" s="727"/>
      <c r="F2" s="727"/>
      <c r="G2" s="727"/>
      <c r="H2" s="727"/>
      <c r="I2" s="243"/>
      <c r="J2" s="243"/>
      <c r="K2" s="243"/>
      <c r="L2" s="243"/>
      <c r="M2" s="243"/>
      <c r="N2" s="243"/>
      <c r="O2" s="253"/>
      <c r="P2" s="252" t="str">
        <f>IF($Q417=1,"(Page 1 of 8)","(Page 1 of 7)")</f>
        <v>(Page 1 of 7)</v>
      </c>
    </row>
    <row r="3" spans="1:22" ht="6" customHeight="1">
      <c r="A3" s="243"/>
      <c r="B3" s="250"/>
      <c r="C3" s="250"/>
      <c r="D3" s="243"/>
      <c r="E3" s="243"/>
      <c r="F3" s="243"/>
      <c r="G3" s="360"/>
      <c r="H3" s="243"/>
      <c r="I3" s="243"/>
      <c r="J3" s="243"/>
      <c r="K3" s="243"/>
      <c r="L3" s="243"/>
      <c r="M3" s="243"/>
      <c r="N3" s="243"/>
      <c r="O3" s="253"/>
      <c r="P3" s="253"/>
    </row>
    <row r="4" spans="1:22">
      <c r="A4" s="243"/>
      <c r="B4" s="243"/>
      <c r="C4" s="243"/>
      <c r="D4" s="359" t="s">
        <v>749</v>
      </c>
      <c r="E4" s="353">
        <v>1</v>
      </c>
      <c r="F4" s="251" t="s">
        <v>750</v>
      </c>
      <c r="O4" s="253"/>
      <c r="P4" s="253"/>
    </row>
    <row r="5" spans="1:22">
      <c r="A5" s="243"/>
      <c r="B5" s="243"/>
      <c r="C5" s="280"/>
      <c r="D5" s="280"/>
      <c r="E5" s="358"/>
      <c r="F5" s="251" t="s">
        <v>751</v>
      </c>
      <c r="O5" s="253"/>
      <c r="P5" s="253"/>
    </row>
    <row r="6" spans="1:22" hidden="1">
      <c r="A6" s="243"/>
      <c r="B6" s="243"/>
      <c r="C6" s="280"/>
      <c r="D6" s="280"/>
      <c r="E6" s="361"/>
      <c r="F6" s="251" t="s">
        <v>752</v>
      </c>
      <c r="O6" s="253"/>
      <c r="P6" s="253"/>
    </row>
    <row r="7" spans="1:22" hidden="1">
      <c r="A7" s="243"/>
      <c r="B7" s="243"/>
      <c r="C7" s="280"/>
      <c r="D7" s="280"/>
      <c r="E7" s="362"/>
      <c r="F7" s="251" t="s">
        <v>753</v>
      </c>
      <c r="O7" s="253"/>
      <c r="P7" s="253"/>
    </row>
    <row r="8" spans="1:22" hidden="1">
      <c r="A8" s="243"/>
      <c r="B8" s="243"/>
      <c r="C8" s="280"/>
      <c r="D8" s="280"/>
      <c r="E8" s="361"/>
      <c r="F8" s="251" t="s">
        <v>754</v>
      </c>
      <c r="O8" s="253"/>
      <c r="P8" s="253"/>
    </row>
    <row r="9" spans="1:22" hidden="1">
      <c r="A9" s="243"/>
      <c r="B9" s="243"/>
      <c r="C9" s="280"/>
      <c r="D9" s="280"/>
      <c r="E9" s="361"/>
      <c r="F9" s="251" t="s">
        <v>755</v>
      </c>
      <c r="O9" s="253"/>
      <c r="P9" s="253"/>
    </row>
    <row r="10" spans="1:22" hidden="1">
      <c r="A10" s="243"/>
      <c r="B10" s="243"/>
      <c r="C10" s="280"/>
      <c r="D10" s="280"/>
      <c r="E10" s="361"/>
      <c r="F10" s="251" t="s">
        <v>756</v>
      </c>
      <c r="O10" s="253"/>
      <c r="P10" s="253"/>
    </row>
    <row r="11" spans="1:22">
      <c r="A11" s="243"/>
      <c r="B11" s="243"/>
      <c r="C11" s="243"/>
      <c r="D11" s="243"/>
      <c r="E11" s="353">
        <f>MAX(E$4:E8)+1</f>
        <v>2</v>
      </c>
      <c r="F11" s="251" t="s">
        <v>757</v>
      </c>
      <c r="O11" s="253"/>
      <c r="P11" s="253"/>
    </row>
    <row r="12" spans="1:22">
      <c r="A12" s="243"/>
      <c r="B12" s="243"/>
      <c r="C12" s="243"/>
      <c r="D12" s="243"/>
      <c r="E12" s="357"/>
      <c r="F12" s="251" t="s">
        <v>758</v>
      </c>
      <c r="O12" s="253"/>
      <c r="P12" s="253"/>
    </row>
    <row r="13" spans="1:22">
      <c r="A13" s="243"/>
      <c r="B13" s="243"/>
      <c r="C13" s="243"/>
      <c r="D13" s="243"/>
      <c r="E13" s="357"/>
      <c r="F13" s="251" t="s">
        <v>759</v>
      </c>
      <c r="O13" s="253"/>
      <c r="P13" s="253"/>
    </row>
    <row r="14" spans="1:22">
      <c r="A14" s="243"/>
      <c r="B14" s="243"/>
      <c r="C14" s="243"/>
      <c r="D14" s="243"/>
      <c r="E14" s="353">
        <f>MAX(E$4:E13)+1</f>
        <v>3</v>
      </c>
      <c r="F14" s="251" t="s">
        <v>760</v>
      </c>
      <c r="O14" s="253"/>
      <c r="P14" s="253"/>
    </row>
    <row r="15" spans="1:22">
      <c r="A15" s="243"/>
      <c r="B15" s="243"/>
      <c r="C15" s="243"/>
      <c r="D15" s="243"/>
      <c r="E15" s="357"/>
      <c r="F15" s="251" t="s">
        <v>761</v>
      </c>
      <c r="G15" s="356"/>
      <c r="H15" s="356"/>
      <c r="I15" s="356"/>
      <c r="J15" s="356"/>
      <c r="K15" s="356"/>
      <c r="L15" s="356"/>
      <c r="M15" s="356"/>
      <c r="N15" s="356"/>
      <c r="O15" s="253"/>
      <c r="P15" s="253"/>
    </row>
    <row r="16" spans="1:22">
      <c r="A16" s="243"/>
      <c r="B16" s="243"/>
      <c r="C16" s="243"/>
      <c r="D16" s="243"/>
      <c r="E16" s="357"/>
      <c r="F16" s="251" t="s">
        <v>762</v>
      </c>
      <c r="G16" s="356"/>
      <c r="H16" s="356"/>
      <c r="I16" s="356"/>
      <c r="J16" s="356"/>
      <c r="K16" s="356"/>
      <c r="L16" s="356"/>
      <c r="M16" s="356"/>
      <c r="N16" s="356"/>
      <c r="O16" s="253"/>
      <c r="P16" s="253"/>
    </row>
    <row r="17" spans="1:16" hidden="1">
      <c r="A17" s="243"/>
      <c r="B17" s="243"/>
      <c r="C17" s="243"/>
      <c r="D17" s="243"/>
      <c r="E17" s="361"/>
      <c r="F17" s="251" t="s">
        <v>763</v>
      </c>
      <c r="G17" s="356"/>
      <c r="H17" s="356"/>
      <c r="I17" s="356"/>
      <c r="J17" s="356"/>
      <c r="K17" s="356"/>
      <c r="L17" s="356"/>
      <c r="M17" s="356"/>
      <c r="N17" s="356"/>
      <c r="O17" s="253"/>
      <c r="P17" s="253"/>
    </row>
    <row r="18" spans="1:16" hidden="1">
      <c r="A18" s="243"/>
      <c r="B18" s="243"/>
      <c r="C18" s="243"/>
      <c r="D18" s="243"/>
      <c r="E18" s="362"/>
      <c r="F18" s="251" t="s">
        <v>764</v>
      </c>
      <c r="O18" s="253"/>
      <c r="P18" s="253"/>
    </row>
    <row r="19" spans="1:16" hidden="1">
      <c r="A19" s="243"/>
      <c r="B19" s="243"/>
      <c r="C19" s="243"/>
      <c r="D19" s="243"/>
      <c r="E19" s="363"/>
      <c r="F19" s="280" t="s">
        <v>765</v>
      </c>
      <c r="G19" s="243"/>
      <c r="H19" s="243"/>
      <c r="I19" s="243"/>
      <c r="J19" s="243"/>
      <c r="K19" s="243"/>
      <c r="L19" s="243"/>
      <c r="M19" s="243"/>
      <c r="N19" s="243"/>
      <c r="O19" s="253"/>
      <c r="P19" s="253"/>
    </row>
    <row r="20" spans="1:16">
      <c r="A20" s="243"/>
      <c r="B20" s="243"/>
      <c r="C20" s="243"/>
      <c r="D20" s="243"/>
      <c r="E20" s="353">
        <f>MAX(E$4:E18)+1</f>
        <v>4</v>
      </c>
      <c r="F20" s="280" t="s">
        <v>766</v>
      </c>
      <c r="G20" s="243"/>
      <c r="H20" s="243"/>
      <c r="I20" s="243"/>
      <c r="J20" s="243"/>
      <c r="K20" s="243"/>
      <c r="L20" s="243"/>
      <c r="M20" s="243"/>
      <c r="N20" s="243"/>
      <c r="O20" s="253"/>
      <c r="P20" s="253"/>
    </row>
    <row r="21" spans="1:16">
      <c r="A21" s="243"/>
      <c r="B21" s="243"/>
      <c r="C21" s="243"/>
      <c r="D21" s="243"/>
      <c r="E21" s="355"/>
      <c r="F21" s="280" t="s">
        <v>767</v>
      </c>
      <c r="G21" s="243"/>
      <c r="H21" s="243"/>
      <c r="I21" s="243"/>
      <c r="J21" s="243"/>
      <c r="K21" s="243"/>
      <c r="L21" s="243"/>
      <c r="M21" s="243"/>
      <c r="N21" s="243"/>
      <c r="O21" s="253"/>
      <c r="P21" s="253"/>
    </row>
    <row r="22" spans="1:16">
      <c r="A22" s="243"/>
      <c r="B22" s="243"/>
      <c r="C22" s="243"/>
      <c r="D22" s="243"/>
      <c r="E22" s="355"/>
      <c r="F22" s="280" t="s">
        <v>768</v>
      </c>
      <c r="G22" s="243"/>
      <c r="H22" s="243"/>
      <c r="I22" s="243"/>
      <c r="J22" s="243"/>
      <c r="K22" s="243"/>
      <c r="L22" s="243"/>
      <c r="M22" s="243"/>
      <c r="N22" s="243"/>
      <c r="O22" s="253"/>
      <c r="P22" s="253"/>
    </row>
    <row r="23" spans="1:16">
      <c r="A23" s="243"/>
      <c r="B23" s="243"/>
      <c r="C23" s="243"/>
      <c r="D23" s="243"/>
      <c r="E23" s="354"/>
      <c r="F23" s="280" t="s">
        <v>2012</v>
      </c>
      <c r="G23" s="243"/>
      <c r="H23" s="243"/>
      <c r="I23" s="243"/>
      <c r="J23" s="243"/>
      <c r="K23" s="243"/>
      <c r="L23" s="243"/>
      <c r="M23" s="243"/>
      <c r="N23" s="243"/>
      <c r="O23" s="253"/>
      <c r="P23" s="253"/>
    </row>
    <row r="24" spans="1:16" hidden="1">
      <c r="A24" s="243"/>
      <c r="B24" s="243"/>
      <c r="C24" s="243"/>
      <c r="D24" s="243"/>
      <c r="E24" s="363"/>
      <c r="F24" s="280" t="s">
        <v>769</v>
      </c>
      <c r="G24" s="243"/>
      <c r="H24" s="243"/>
      <c r="I24" s="243"/>
      <c r="J24" s="243"/>
      <c r="K24" s="243"/>
      <c r="L24" s="243"/>
      <c r="M24" s="243"/>
      <c r="N24" s="243"/>
      <c r="O24" s="253"/>
      <c r="P24" s="253"/>
    </row>
    <row r="25" spans="1:16" hidden="1">
      <c r="A25" s="243"/>
      <c r="B25" s="243"/>
      <c r="C25" s="243"/>
      <c r="D25" s="243"/>
      <c r="E25" s="362"/>
      <c r="F25" s="280" t="s">
        <v>770</v>
      </c>
      <c r="G25" s="243"/>
      <c r="H25" s="243"/>
      <c r="I25" s="243"/>
      <c r="J25" s="243"/>
      <c r="K25" s="243"/>
      <c r="L25" s="243"/>
      <c r="M25" s="243"/>
      <c r="N25" s="243"/>
      <c r="O25" s="253"/>
      <c r="P25" s="253"/>
    </row>
    <row r="26" spans="1:16" hidden="1">
      <c r="A26" s="243"/>
      <c r="B26" s="243"/>
      <c r="C26" s="243"/>
      <c r="D26" s="243"/>
      <c r="E26" s="362"/>
      <c r="F26" s="280" t="s">
        <v>771</v>
      </c>
      <c r="G26" s="243"/>
      <c r="H26" s="243"/>
      <c r="I26" s="243"/>
      <c r="J26" s="243"/>
      <c r="K26" s="243"/>
      <c r="L26" s="243"/>
      <c r="M26" s="243"/>
      <c r="N26" s="243"/>
      <c r="O26" s="253"/>
      <c r="P26" s="253"/>
    </row>
    <row r="27" spans="1:16" hidden="1">
      <c r="A27" s="243"/>
      <c r="B27" s="243"/>
      <c r="C27" s="243"/>
      <c r="D27" s="243"/>
      <c r="E27" s="362"/>
      <c r="F27" s="280" t="s">
        <v>772</v>
      </c>
      <c r="G27" s="243"/>
      <c r="H27" s="243"/>
      <c r="I27" s="243"/>
      <c r="J27" s="243"/>
      <c r="K27" s="243"/>
      <c r="L27" s="243"/>
      <c r="M27" s="243"/>
      <c r="N27" s="243"/>
      <c r="O27" s="253"/>
      <c r="P27" s="253"/>
    </row>
    <row r="28" spans="1:16">
      <c r="A28" s="243"/>
      <c r="B28" s="243"/>
      <c r="C28" s="243"/>
      <c r="D28" s="243"/>
      <c r="E28" s="353">
        <f>MAX(E$4:E27)+1</f>
        <v>5</v>
      </c>
      <c r="F28" s="280" t="s">
        <v>773</v>
      </c>
      <c r="G28" s="243"/>
      <c r="H28" s="243"/>
      <c r="I28" s="243"/>
      <c r="J28" s="243"/>
      <c r="K28" s="243"/>
      <c r="L28" s="243"/>
      <c r="M28" s="243"/>
      <c r="N28" s="243"/>
      <c r="O28" s="253"/>
      <c r="P28" s="253"/>
    </row>
    <row r="29" spans="1:16">
      <c r="A29" s="243"/>
      <c r="B29" s="243"/>
      <c r="C29" s="243"/>
      <c r="D29" s="243"/>
      <c r="E29" s="351"/>
      <c r="F29" s="280" t="s">
        <v>774</v>
      </c>
      <c r="G29" s="243"/>
      <c r="H29" s="243"/>
      <c r="I29" s="243"/>
      <c r="J29" s="243"/>
      <c r="K29" s="243"/>
      <c r="L29" s="243"/>
      <c r="M29" s="243"/>
      <c r="N29" s="243"/>
      <c r="O29" s="253"/>
      <c r="P29" s="253"/>
    </row>
    <row r="30" spans="1:16">
      <c r="A30" s="243"/>
      <c r="B30" s="243"/>
      <c r="C30" s="243"/>
      <c r="D30" s="243"/>
      <c r="F30" s="280" t="s">
        <v>775</v>
      </c>
      <c r="G30" s="243"/>
      <c r="H30" s="243"/>
      <c r="I30" s="243"/>
      <c r="J30" s="243"/>
      <c r="K30" s="243"/>
      <c r="L30" s="243"/>
      <c r="M30" s="243"/>
      <c r="N30" s="243"/>
      <c r="O30" s="253"/>
      <c r="P30" s="253"/>
    </row>
    <row r="31" spans="1:16">
      <c r="A31" s="243"/>
      <c r="B31" s="243"/>
      <c r="C31" s="243"/>
      <c r="D31" s="243"/>
      <c r="F31" s="280" t="s">
        <v>776</v>
      </c>
      <c r="G31" s="243"/>
      <c r="H31" s="243"/>
      <c r="I31" s="243"/>
      <c r="J31" s="243"/>
      <c r="K31" s="243"/>
      <c r="L31" s="243"/>
      <c r="M31" s="243"/>
      <c r="N31" s="243"/>
      <c r="O31" s="253"/>
      <c r="P31" s="253"/>
    </row>
    <row r="32" spans="1:16">
      <c r="A32" s="243"/>
      <c r="B32" s="243"/>
      <c r="C32" s="243"/>
      <c r="D32" s="243"/>
      <c r="E32" s="353">
        <f>MAX(E$4:E31)+1</f>
        <v>6</v>
      </c>
      <c r="F32" s="280" t="s">
        <v>2013</v>
      </c>
      <c r="G32" s="243"/>
      <c r="H32" s="243"/>
      <c r="I32" s="243"/>
      <c r="J32" s="243"/>
      <c r="K32" s="243"/>
      <c r="L32" s="243"/>
      <c r="M32" s="243"/>
      <c r="N32" s="243"/>
      <c r="O32" s="253"/>
      <c r="P32" s="253"/>
    </row>
    <row r="33" spans="1:29">
      <c r="A33" s="243"/>
      <c r="B33" s="243"/>
      <c r="C33" s="243"/>
      <c r="D33" s="243"/>
      <c r="E33" s="353"/>
      <c r="F33" s="280" t="s">
        <v>2014</v>
      </c>
      <c r="G33" s="243"/>
      <c r="H33" s="243"/>
      <c r="I33" s="243"/>
      <c r="J33" s="243"/>
      <c r="K33" s="243"/>
      <c r="L33" s="243"/>
      <c r="M33" s="243"/>
      <c r="N33" s="243"/>
      <c r="O33" s="253"/>
      <c r="P33" s="253"/>
    </row>
    <row r="34" spans="1:29" ht="6" customHeight="1">
      <c r="A34" s="243"/>
      <c r="B34" s="243"/>
      <c r="C34" s="243"/>
      <c r="D34" s="243"/>
      <c r="E34" s="351"/>
      <c r="G34" s="243"/>
      <c r="H34" s="243"/>
      <c r="I34" s="243"/>
      <c r="J34" s="243"/>
      <c r="K34" s="243"/>
      <c r="L34" s="243"/>
      <c r="M34" s="243"/>
      <c r="N34" s="243"/>
      <c r="O34" s="253"/>
      <c r="P34" s="253"/>
    </row>
    <row r="35" spans="1:29">
      <c r="A35" s="243"/>
      <c r="B35" s="243"/>
      <c r="C35" s="352" t="s">
        <v>777</v>
      </c>
      <c r="D35" s="243"/>
      <c r="E35" s="351"/>
      <c r="F35" s="243"/>
      <c r="G35" s="243"/>
      <c r="H35" s="243"/>
      <c r="I35" s="243"/>
      <c r="J35" s="243"/>
      <c r="K35" s="243"/>
      <c r="L35" s="243"/>
      <c r="M35" s="243"/>
      <c r="N35" s="243"/>
      <c r="O35" s="253"/>
      <c r="P35" s="253"/>
    </row>
    <row r="36" spans="1:29">
      <c r="A36" s="243"/>
      <c r="B36" s="243"/>
      <c r="C36" s="352" t="s">
        <v>778</v>
      </c>
      <c r="D36" s="243"/>
      <c r="E36" s="351"/>
      <c r="F36" s="280"/>
      <c r="G36" s="243"/>
      <c r="H36" s="243"/>
      <c r="I36" s="243"/>
      <c r="J36" s="243"/>
      <c r="K36" s="243"/>
      <c r="L36" s="243"/>
      <c r="M36" s="243"/>
      <c r="N36" s="243"/>
      <c r="O36" s="253"/>
      <c r="P36" s="253"/>
    </row>
    <row r="37" spans="1:29" ht="6" customHeight="1">
      <c r="A37" s="243"/>
      <c r="B37" s="279"/>
      <c r="D37" s="243"/>
      <c r="E37" s="243"/>
      <c r="F37" s="243"/>
      <c r="G37" s="243"/>
      <c r="H37" s="243"/>
      <c r="I37" s="243"/>
      <c r="J37" s="243"/>
      <c r="K37" s="243"/>
      <c r="L37" s="243"/>
      <c r="M37" s="243"/>
      <c r="N37" s="243"/>
      <c r="O37" s="253"/>
      <c r="P37" s="253"/>
    </row>
    <row r="38" spans="1:29">
      <c r="A38" s="727"/>
      <c r="B38" s="784"/>
      <c r="C38" s="637"/>
      <c r="D38" s="727"/>
      <c r="E38" s="727"/>
      <c r="F38" s="637"/>
      <c r="G38" s="727"/>
      <c r="H38" s="637"/>
      <c r="I38" s="785" t="s">
        <v>779</v>
      </c>
      <c r="J38" s="727"/>
      <c r="K38" s="2147" t="str">
        <f>IF(Development_Category=DS_Select_One,"Category Input Required",Development_Category)</f>
        <v>New Construction</v>
      </c>
      <c r="L38" s="2147"/>
      <c r="M38" s="2147"/>
      <c r="N38" s="2147"/>
      <c r="O38" s="786"/>
      <c r="P38" s="872" t="str">
        <f>IF(K38="Category Input Required","**","")</f>
        <v/>
      </c>
      <c r="Q38" s="637"/>
      <c r="R38" s="872" t="s">
        <v>401</v>
      </c>
      <c r="S38" s="637" t="s">
        <v>867</v>
      </c>
      <c r="T38" s="637"/>
      <c r="U38" s="637"/>
      <c r="V38" s="637"/>
      <c r="W38" s="637"/>
      <c r="X38" s="637"/>
      <c r="Y38" s="637"/>
      <c r="Z38" s="637"/>
    </row>
    <row r="39" spans="1:29">
      <c r="A39" s="727"/>
      <c r="B39" s="784"/>
      <c r="C39" s="637"/>
      <c r="D39" s="727"/>
      <c r="E39" s="727"/>
      <c r="F39" s="637"/>
      <c r="G39" s="727"/>
      <c r="H39" s="637"/>
      <c r="I39" s="787" t="s">
        <v>780</v>
      </c>
      <c r="J39" s="727"/>
      <c r="K39" s="789" t="str">
        <f>IF(Total_Units&gt;0,Total_Units,"Total Units Required")</f>
        <v>Total Units Required</v>
      </c>
      <c r="L39" s="788"/>
      <c r="M39" s="788"/>
      <c r="N39" s="790"/>
      <c r="O39" s="786"/>
      <c r="P39" s="872" t="str">
        <f>IF(N(K39)=0,"**","")</f>
        <v>**</v>
      </c>
      <c r="Q39" s="637"/>
      <c r="R39" s="637"/>
      <c r="S39" s="637"/>
      <c r="T39" s="637"/>
      <c r="U39" s="637"/>
      <c r="V39" s="637"/>
      <c r="W39" s="637"/>
      <c r="X39" s="637"/>
      <c r="Y39" s="637"/>
      <c r="Z39" s="637"/>
    </row>
    <row r="40" spans="1:29" ht="15" customHeight="1">
      <c r="A40" s="243"/>
      <c r="B40" s="279"/>
      <c r="D40" s="243"/>
      <c r="E40" s="243"/>
      <c r="F40" s="243"/>
      <c r="G40" s="2173" t="str">
        <f>IF(SUM(I45:I201)+SUM(L45:L201)&gt;0,"The "&amp;TEXT(SUM(I45:I201)+SUM(L45:L201),"0")&amp;" highlighted cell"&amp;IF(SUM(I45:I201)+SUM(L45:L201)&gt;1,"s","")&amp;" should be corrected to have a whole number","")</f>
        <v/>
      </c>
      <c r="H40" s="2173"/>
      <c r="I40" s="2173"/>
      <c r="J40" s="2173"/>
      <c r="K40" s="2173"/>
      <c r="L40" s="2173"/>
      <c r="M40" s="2173"/>
      <c r="N40" s="2173"/>
      <c r="Q40" s="2164" t="s">
        <v>866</v>
      </c>
      <c r="R40" s="2165"/>
      <c r="S40" s="2165"/>
      <c r="T40" s="2165"/>
      <c r="U40" s="2165"/>
      <c r="V40" s="2165"/>
      <c r="W40" s="2165"/>
      <c r="X40" s="2165"/>
      <c r="Y40" s="2165"/>
      <c r="Z40" s="2166"/>
    </row>
    <row r="41" spans="1:29" ht="12.75" customHeight="1">
      <c r="A41" s="243"/>
      <c r="B41" s="243"/>
      <c r="C41" s="243"/>
      <c r="D41" s="243"/>
      <c r="E41" s="243"/>
      <c r="F41" s="243"/>
      <c r="G41" s="243"/>
      <c r="H41" s="1424">
        <v>1</v>
      </c>
      <c r="I41" s="244"/>
      <c r="J41" s="1479"/>
      <c r="K41" s="1480">
        <v>2</v>
      </c>
      <c r="L41" s="1479"/>
      <c r="M41" s="1481"/>
      <c r="N41" s="1482">
        <v>3</v>
      </c>
      <c r="O41" s="253"/>
      <c r="P41" s="253"/>
      <c r="Q41" s="2167"/>
      <c r="R41" s="2168"/>
      <c r="S41" s="2168"/>
      <c r="T41" s="2168"/>
      <c r="U41" s="2168"/>
      <c r="V41" s="2168"/>
      <c r="W41" s="2168"/>
      <c r="X41" s="2168"/>
      <c r="Y41" s="2168"/>
      <c r="Z41" s="2169"/>
    </row>
    <row r="42" spans="1:29" ht="18" customHeight="1" thickBot="1">
      <c r="A42" s="243"/>
      <c r="B42" s="243"/>
      <c r="C42" s="243"/>
      <c r="D42" s="243"/>
      <c r="E42" s="243"/>
      <c r="F42" s="243"/>
      <c r="G42" s="243"/>
      <c r="H42" s="349" t="s">
        <v>2015</v>
      </c>
      <c r="I42" s="350"/>
      <c r="J42" s="1483"/>
      <c r="K42" s="1484" t="s">
        <v>584</v>
      </c>
      <c r="L42" s="1484"/>
      <c r="M42" s="1484"/>
      <c r="N42" s="1484" t="s">
        <v>585</v>
      </c>
      <c r="O42" s="253"/>
      <c r="P42" s="253"/>
      <c r="Q42" s="2170"/>
      <c r="R42" s="2171"/>
      <c r="S42" s="2171"/>
      <c r="T42" s="2171"/>
      <c r="U42" s="2171"/>
      <c r="V42" s="2171"/>
      <c r="W42" s="2171"/>
      <c r="X42" s="2171"/>
      <c r="Y42" s="2171"/>
      <c r="Z42" s="2172"/>
    </row>
    <row r="43" spans="1:29">
      <c r="A43" s="243"/>
      <c r="B43" s="250" t="s">
        <v>586</v>
      </c>
      <c r="C43" s="243"/>
      <c r="D43" s="243"/>
      <c r="E43" s="243"/>
      <c r="F43" s="243"/>
      <c r="G43" s="243"/>
      <c r="H43" s="243"/>
      <c r="I43" s="243"/>
      <c r="J43" s="1479"/>
      <c r="K43" s="1479"/>
      <c r="L43" s="1479"/>
      <c r="M43" s="1479"/>
      <c r="N43" s="1479"/>
      <c r="O43" s="253"/>
      <c r="P43" s="253"/>
    </row>
    <row r="44" spans="1:29">
      <c r="A44" s="243"/>
      <c r="B44" s="277"/>
      <c r="C44" s="341" t="s">
        <v>587</v>
      </c>
      <c r="D44" s="243"/>
      <c r="E44" s="243"/>
      <c r="F44" s="243"/>
      <c r="G44" s="243"/>
      <c r="H44" s="243"/>
      <c r="I44" s="243"/>
      <c r="J44" s="1479"/>
      <c r="K44" s="1479"/>
      <c r="L44" s="1479"/>
      <c r="M44" s="1479"/>
      <c r="N44" s="1479"/>
      <c r="O44" s="253"/>
      <c r="P44" s="253"/>
      <c r="Q44" s="245"/>
    </row>
    <row r="45" spans="1:29">
      <c r="A45" s="243"/>
      <c r="B45" s="277"/>
      <c r="D45" s="291" t="s">
        <v>588</v>
      </c>
      <c r="E45" s="243"/>
      <c r="F45" s="243"/>
      <c r="G45" s="243"/>
      <c r="H45" s="332"/>
      <c r="I45" s="326"/>
      <c r="J45" s="1485"/>
      <c r="K45" s="1486"/>
      <c r="L45" s="979" t="str">
        <f>IF(N(K45)&lt;&gt;ROUNDDOWN(N(K45),0),1,"")</f>
        <v/>
      </c>
      <c r="M45" s="979"/>
      <c r="N45" s="1487" t="str">
        <f>IF(H45+K45=0,"",H45+K45)</f>
        <v/>
      </c>
      <c r="O45" s="253"/>
      <c r="P45" s="253"/>
    </row>
    <row r="46" spans="1:29" ht="12.45" customHeight="1">
      <c r="H46" s="330"/>
      <c r="I46" s="326"/>
      <c r="J46" s="979"/>
      <c r="K46" s="1500"/>
      <c r="L46" s="1501"/>
      <c r="M46" s="1501"/>
      <c r="N46" s="1501"/>
      <c r="O46" s="253"/>
      <c r="P46" s="253"/>
    </row>
    <row r="47" spans="1:29">
      <c r="A47" s="243"/>
      <c r="B47" s="277"/>
      <c r="D47" s="291" t="s">
        <v>589</v>
      </c>
      <c r="E47" s="243"/>
      <c r="F47" s="243"/>
      <c r="G47" s="243"/>
      <c r="H47" s="888"/>
      <c r="I47" s="326"/>
      <c r="J47" s="1485"/>
      <c r="K47" s="1502"/>
      <c r="L47" s="1501" t="str">
        <f>IF(N(K47)&lt;&gt;ROUNDDOWN(N(K47),0),1,"")</f>
        <v/>
      </c>
      <c r="M47" s="1501"/>
      <c r="N47" s="1503" t="str">
        <f>IF(H47+K47=0,"",H47+K47)</f>
        <v/>
      </c>
      <c r="O47" s="253"/>
      <c r="P47" s="253"/>
      <c r="Q47" s="2073" t="s">
        <v>865</v>
      </c>
      <c r="R47" s="2073"/>
      <c r="S47" s="2073"/>
      <c r="T47" s="2073"/>
      <c r="U47" s="2073"/>
      <c r="V47" s="2073"/>
      <c r="W47" s="2073"/>
      <c r="X47" s="2073"/>
      <c r="Y47" s="2073"/>
      <c r="Z47" s="2073"/>
      <c r="AA47" s="346"/>
      <c r="AB47" s="346"/>
      <c r="AC47" s="346"/>
    </row>
    <row r="48" spans="1:29" ht="12.45" customHeight="1">
      <c r="B48" s="277"/>
      <c r="H48" s="1425"/>
      <c r="I48" s="326"/>
      <c r="J48" s="979"/>
      <c r="K48" s="1500"/>
      <c r="L48" s="1501"/>
      <c r="M48" s="1501"/>
      <c r="N48" s="1501"/>
      <c r="O48" s="253"/>
      <c r="P48" s="253"/>
      <c r="Q48" s="2073"/>
      <c r="R48" s="2073"/>
      <c r="S48" s="2073"/>
      <c r="T48" s="2073"/>
      <c r="U48" s="2073"/>
      <c r="V48" s="2073"/>
      <c r="W48" s="2073"/>
      <c r="X48" s="2073"/>
      <c r="Y48" s="2073"/>
      <c r="Z48" s="2073"/>
      <c r="AA48" s="346"/>
      <c r="AB48" s="346"/>
      <c r="AC48" s="346"/>
    </row>
    <row r="49" spans="1:29" ht="13.8">
      <c r="B49" s="277"/>
      <c r="D49" s="1210" t="s">
        <v>864</v>
      </c>
      <c r="H49" s="370"/>
      <c r="I49" s="326"/>
      <c r="J49" s="1485"/>
      <c r="K49" s="1502"/>
      <c r="L49" s="1501" t="str">
        <f>IF(N(K49)&lt;&gt;ROUNDDOWN(N(K49),0),1,"")</f>
        <v/>
      </c>
      <c r="M49" s="1501"/>
      <c r="N49" s="1503" t="str">
        <f>IF(H49+K49=0,"",H49+K49)</f>
        <v/>
      </c>
      <c r="O49" s="253"/>
      <c r="P49" s="253"/>
      <c r="Q49" s="2073" t="s">
        <v>863</v>
      </c>
      <c r="R49" s="2073"/>
      <c r="S49" s="2073"/>
      <c r="T49" s="2073"/>
      <c r="U49" s="2073"/>
      <c r="V49" s="2073"/>
      <c r="W49" s="2073"/>
      <c r="X49" s="2073"/>
      <c r="Y49" s="2073"/>
      <c r="Z49" s="2073"/>
      <c r="AA49" s="346"/>
      <c r="AB49" s="346"/>
      <c r="AC49" s="346"/>
    </row>
    <row r="50" spans="1:29" ht="12.45" customHeight="1">
      <c r="B50" s="277"/>
      <c r="H50" s="330"/>
      <c r="I50" s="326"/>
      <c r="J50" s="979"/>
      <c r="K50" s="1500"/>
      <c r="L50" s="1501"/>
      <c r="M50" s="1501"/>
      <c r="N50" s="1501"/>
      <c r="O50" s="253"/>
      <c r="P50" s="253"/>
      <c r="Q50" s="2073"/>
      <c r="R50" s="2073"/>
      <c r="S50" s="2073"/>
      <c r="T50" s="2073"/>
      <c r="U50" s="2073"/>
      <c r="V50" s="2073"/>
      <c r="W50" s="2073"/>
      <c r="X50" s="2073"/>
      <c r="Y50" s="2073"/>
      <c r="Z50" s="2073"/>
      <c r="AA50" s="346"/>
      <c r="AB50" s="346"/>
      <c r="AC50" s="346"/>
    </row>
    <row r="51" spans="1:29">
      <c r="A51" s="243"/>
      <c r="B51" s="277"/>
      <c r="D51" s="291" t="s">
        <v>590</v>
      </c>
      <c r="E51" s="243"/>
      <c r="F51" s="243"/>
      <c r="G51" s="243"/>
      <c r="H51" s="332"/>
      <c r="I51" s="326"/>
      <c r="J51" s="1485"/>
      <c r="K51" s="1502"/>
      <c r="L51" s="1501" t="str">
        <f>IF(N(K51)&lt;&gt;ROUNDDOWN(N(K51),0),1,"")</f>
        <v/>
      </c>
      <c r="M51" s="1501"/>
      <c r="N51" s="1503" t="str">
        <f>IF(H51+K51=0,"",H51+K51)</f>
        <v/>
      </c>
      <c r="O51" s="253"/>
      <c r="P51" s="253"/>
      <c r="Q51" s="346"/>
      <c r="R51" s="346"/>
      <c r="S51" s="346"/>
      <c r="T51" s="346"/>
      <c r="U51" s="346"/>
      <c r="V51" s="346"/>
      <c r="W51" s="346"/>
      <c r="X51" s="346"/>
      <c r="Y51" s="346"/>
      <c r="Z51" s="346"/>
      <c r="AA51" s="346"/>
      <c r="AB51" s="346"/>
      <c r="AC51" s="346"/>
    </row>
    <row r="52" spans="1:29" ht="12.45" customHeight="1">
      <c r="B52" s="277"/>
      <c r="H52" s="330"/>
      <c r="I52" s="326"/>
      <c r="J52" s="979"/>
      <c r="K52" s="1500"/>
      <c r="L52" s="1501"/>
      <c r="M52" s="1501"/>
      <c r="N52" s="1501"/>
      <c r="O52" s="253"/>
      <c r="P52" s="253"/>
      <c r="Q52" s="346"/>
      <c r="R52" s="346"/>
      <c r="S52" s="346"/>
      <c r="T52" s="346"/>
      <c r="U52" s="346"/>
      <c r="V52" s="346"/>
      <c r="W52" s="346"/>
      <c r="X52" s="346"/>
      <c r="Y52" s="346"/>
      <c r="Z52" s="346"/>
      <c r="AA52" s="346"/>
      <c r="AB52" s="346"/>
      <c r="AC52" s="346"/>
    </row>
    <row r="53" spans="1:29" ht="12.75" customHeight="1">
      <c r="A53" s="243"/>
      <c r="B53" s="277"/>
      <c r="D53" s="344" t="s">
        <v>591</v>
      </c>
      <c r="E53" s="243"/>
      <c r="F53" s="243"/>
      <c r="G53" s="243"/>
      <c r="H53" s="332"/>
      <c r="I53" s="326"/>
      <c r="J53" s="1485"/>
      <c r="K53" s="1502"/>
      <c r="L53" s="1501" t="str">
        <f>IF(N(K53)&lt;&gt;ROUNDDOWN(N(K53),0),1,"")</f>
        <v/>
      </c>
      <c r="M53" s="1501"/>
      <c r="N53" s="1503" t="str">
        <f>IF(H53+K53=0,"",H53+K53)</f>
        <v/>
      </c>
      <c r="O53" s="253"/>
      <c r="P53" s="253"/>
      <c r="Q53" s="346"/>
      <c r="R53" s="346"/>
      <c r="S53" s="346"/>
      <c r="T53" s="346"/>
      <c r="U53" s="346"/>
      <c r="V53" s="346"/>
      <c r="W53" s="346"/>
      <c r="X53" s="346"/>
      <c r="Y53" s="346"/>
      <c r="Z53" s="346"/>
      <c r="AA53" s="346"/>
      <c r="AB53" s="346"/>
      <c r="AC53" s="346"/>
    </row>
    <row r="54" spans="1:29" ht="12.45" customHeight="1">
      <c r="B54" s="277"/>
      <c r="H54" s="330"/>
      <c r="I54" s="326"/>
      <c r="J54" s="979"/>
      <c r="K54" s="1500"/>
      <c r="L54" s="1501"/>
      <c r="M54" s="1501"/>
      <c r="N54" s="1501"/>
      <c r="O54" s="253"/>
      <c r="P54" s="253"/>
      <c r="Q54" s="346"/>
      <c r="R54" s="346"/>
      <c r="S54" s="346"/>
      <c r="T54" s="346"/>
      <c r="U54" s="346"/>
      <c r="V54" s="346"/>
      <c r="W54" s="346"/>
      <c r="X54" s="346"/>
      <c r="Y54" s="346"/>
      <c r="Z54" s="346"/>
      <c r="AA54" s="346"/>
      <c r="AB54" s="346"/>
      <c r="AC54" s="346"/>
    </row>
    <row r="55" spans="1:29">
      <c r="A55" s="243"/>
      <c r="B55" s="277"/>
      <c r="D55" s="291" t="s">
        <v>592</v>
      </c>
      <c r="E55" s="243"/>
      <c r="F55" s="243"/>
      <c r="G55" s="243"/>
      <c r="H55" s="332"/>
      <c r="I55" s="326"/>
      <c r="J55" s="1485"/>
      <c r="K55" s="1502"/>
      <c r="L55" s="1501" t="str">
        <f>IF(N(K55)&lt;&gt;ROUNDDOWN(N(K55),0),1,"")</f>
        <v/>
      </c>
      <c r="M55" s="1501"/>
      <c r="N55" s="1503" t="str">
        <f>IF(H55+K55=0,"",H55+K55)</f>
        <v/>
      </c>
      <c r="O55" s="253"/>
      <c r="P55" s="253"/>
      <c r="Q55" s="346"/>
      <c r="R55" s="346"/>
      <c r="S55" s="346"/>
      <c r="T55" s="346"/>
      <c r="U55" s="346"/>
      <c r="V55" s="346"/>
      <c r="W55" s="346"/>
      <c r="X55" s="346"/>
      <c r="Y55" s="346"/>
      <c r="Z55" s="346"/>
      <c r="AA55" s="346"/>
      <c r="AB55" s="346"/>
      <c r="AC55" s="346"/>
    </row>
    <row r="56" spans="1:29" ht="12.45" customHeight="1">
      <c r="B56" s="277"/>
      <c r="H56" s="330"/>
      <c r="I56" s="326"/>
      <c r="J56" s="979"/>
      <c r="K56" s="1500"/>
      <c r="L56" s="1501"/>
      <c r="M56" s="1501"/>
      <c r="N56" s="1501"/>
      <c r="O56" s="253"/>
      <c r="P56" s="253"/>
      <c r="Q56" s="346"/>
      <c r="R56" s="346"/>
      <c r="S56" s="346"/>
      <c r="T56" s="346"/>
      <c r="U56" s="346"/>
      <c r="V56" s="346"/>
      <c r="W56" s="346"/>
      <c r="X56" s="346"/>
      <c r="Y56" s="346"/>
      <c r="Z56" s="346"/>
      <c r="AA56" s="346"/>
      <c r="AB56" s="346"/>
      <c r="AC56" s="346"/>
    </row>
    <row r="57" spans="1:29">
      <c r="A57" s="243"/>
      <c r="B57" s="277"/>
      <c r="D57" s="291" t="s">
        <v>593</v>
      </c>
      <c r="E57" s="243"/>
      <c r="F57" s="243"/>
      <c r="G57" s="243"/>
      <c r="H57" s="332"/>
      <c r="I57" s="326"/>
      <c r="J57" s="1485"/>
      <c r="K57" s="1502"/>
      <c r="L57" s="1501" t="str">
        <f>IF(N(K57)&lt;&gt;ROUNDDOWN(N(K57),0),1,"")</f>
        <v/>
      </c>
      <c r="M57" s="1501"/>
      <c r="N57" s="1503" t="str">
        <f>IF(H57+K57=0,"",H57+K57)</f>
        <v/>
      </c>
      <c r="O57" s="253"/>
      <c r="P57" s="253"/>
      <c r="Q57" s="346"/>
      <c r="R57" s="346"/>
      <c r="S57" s="346"/>
      <c r="T57" s="346"/>
      <c r="U57" s="346"/>
      <c r="V57" s="346"/>
      <c r="W57" s="346"/>
      <c r="X57" s="346"/>
      <c r="Y57" s="346"/>
      <c r="Z57" s="346"/>
      <c r="AA57" s="346"/>
      <c r="AB57" s="346"/>
      <c r="AC57" s="346"/>
    </row>
    <row r="58" spans="1:29" ht="12.45" customHeight="1">
      <c r="B58" s="277"/>
      <c r="H58" s="330"/>
      <c r="I58" s="326"/>
      <c r="J58" s="979"/>
      <c r="K58" s="1500"/>
      <c r="L58" s="1501"/>
      <c r="M58" s="1501"/>
      <c r="N58" s="1501"/>
      <c r="O58" s="253"/>
      <c r="P58" s="253"/>
      <c r="Q58" s="346"/>
      <c r="R58" s="346"/>
      <c r="S58" s="346"/>
      <c r="T58" s="346"/>
      <c r="U58" s="346"/>
      <c r="V58" s="346"/>
      <c r="W58" s="346"/>
      <c r="X58" s="346"/>
      <c r="Y58" s="346"/>
      <c r="Z58" s="346"/>
      <c r="AA58" s="346"/>
      <c r="AB58" s="346"/>
      <c r="AC58" s="346"/>
    </row>
    <row r="59" spans="1:29">
      <c r="A59" s="243"/>
      <c r="B59" s="277"/>
      <c r="D59" s="291" t="s">
        <v>594</v>
      </c>
      <c r="E59" s="243"/>
      <c r="F59" s="243"/>
      <c r="G59" s="243"/>
      <c r="H59" s="332"/>
      <c r="I59" s="326"/>
      <c r="J59" s="1485"/>
      <c r="K59" s="1502"/>
      <c r="L59" s="1501" t="str">
        <f>IF(N(K59)&lt;&gt;ROUNDDOWN(N(K59),0),1,"")</f>
        <v/>
      </c>
      <c r="M59" s="1501"/>
      <c r="N59" s="1503" t="str">
        <f>IF(H59+K59=0,"",H59+K59)</f>
        <v/>
      </c>
      <c r="O59" s="253"/>
      <c r="P59" s="253"/>
      <c r="Q59" s="346"/>
      <c r="R59" s="346"/>
      <c r="S59" s="346"/>
      <c r="T59" s="346"/>
      <c r="U59" s="346"/>
      <c r="V59" s="346"/>
      <c r="W59" s="346"/>
      <c r="X59" s="346"/>
      <c r="Y59" s="346"/>
      <c r="Z59" s="346"/>
      <c r="AA59" s="346"/>
      <c r="AB59" s="346"/>
      <c r="AC59" s="346"/>
    </row>
    <row r="60" spans="1:29" ht="12.45" customHeight="1">
      <c r="B60" s="277"/>
      <c r="H60" s="330"/>
      <c r="I60" s="326"/>
      <c r="J60" s="979"/>
      <c r="K60" s="1500"/>
      <c r="L60" s="1501"/>
      <c r="M60" s="1501"/>
      <c r="N60" s="1501"/>
      <c r="O60" s="253"/>
      <c r="P60" s="253"/>
      <c r="Q60" s="346"/>
      <c r="R60" s="346"/>
      <c r="S60" s="346"/>
      <c r="T60" s="346"/>
      <c r="U60" s="346"/>
      <c r="V60" s="346"/>
      <c r="W60" s="346"/>
      <c r="X60" s="346"/>
      <c r="Y60" s="346"/>
      <c r="Z60" s="346"/>
      <c r="AA60" s="346"/>
      <c r="AB60" s="346"/>
      <c r="AC60" s="346"/>
    </row>
    <row r="61" spans="1:29">
      <c r="B61" s="277"/>
      <c r="D61" s="335" t="s">
        <v>595</v>
      </c>
      <c r="H61" s="332"/>
      <c r="I61" s="326"/>
      <c r="J61" s="1485"/>
      <c r="K61" s="1502"/>
      <c r="L61" s="1501" t="str">
        <f>IF(N(K61)&lt;&gt;ROUNDDOWN(N(K61),0),1,"")</f>
        <v/>
      </c>
      <c r="M61" s="1501"/>
      <c r="N61" s="1503" t="str">
        <f>IF(H61+K61=0,"",H61+K61)</f>
        <v/>
      </c>
      <c r="O61" s="253"/>
      <c r="P61" s="253"/>
      <c r="Q61" s="2073" t="s">
        <v>862</v>
      </c>
      <c r="R61" s="2073"/>
      <c r="S61" s="2073"/>
      <c r="T61" s="2073"/>
      <c r="U61" s="2073"/>
      <c r="V61" s="2073"/>
      <c r="W61" s="2073"/>
      <c r="X61" s="2073"/>
      <c r="Y61" s="2073"/>
      <c r="Z61" s="2073"/>
      <c r="AA61" s="346"/>
      <c r="AB61" s="346"/>
      <c r="AC61" s="346"/>
    </row>
    <row r="62" spans="1:29" ht="12.45" customHeight="1">
      <c r="B62" s="277"/>
      <c r="H62" s="330"/>
      <c r="I62" s="326"/>
      <c r="J62" s="979"/>
      <c r="K62" s="1500"/>
      <c r="L62" s="1501"/>
      <c r="M62" s="1501"/>
      <c r="N62" s="1501"/>
      <c r="O62" s="253"/>
      <c r="P62" s="253"/>
      <c r="Q62" s="2175"/>
      <c r="R62" s="2175"/>
      <c r="S62" s="2175"/>
      <c r="T62" s="2175"/>
      <c r="U62" s="2175"/>
      <c r="V62" s="2175"/>
      <c r="W62" s="2175"/>
      <c r="X62" s="2175"/>
      <c r="Y62" s="2175"/>
      <c r="Z62" s="2175"/>
      <c r="AA62" s="346"/>
      <c r="AB62" s="346"/>
      <c r="AC62" s="346"/>
    </row>
    <row r="63" spans="1:29" ht="12.75" customHeight="1">
      <c r="A63" s="243"/>
      <c r="B63" s="277"/>
      <c r="D63" s="344" t="s">
        <v>596</v>
      </c>
      <c r="E63" s="243"/>
      <c r="F63" s="243"/>
      <c r="G63" s="243"/>
      <c r="H63" s="332"/>
      <c r="I63" s="326"/>
      <c r="J63" s="1485"/>
      <c r="K63" s="1502"/>
      <c r="L63" s="1501" t="str">
        <f>IF(N(K63)&lt;&gt;ROUNDDOWN(N(K63),0),1,"")</f>
        <v/>
      </c>
      <c r="M63" s="1501"/>
      <c r="N63" s="1503" t="str">
        <f>IF(H63+K63=0,"",H63+K63)</f>
        <v/>
      </c>
      <c r="O63" s="253"/>
      <c r="P63" s="253"/>
      <c r="Q63" s="2073" t="s">
        <v>861</v>
      </c>
      <c r="R63" s="2073"/>
      <c r="S63" s="2073"/>
      <c r="T63" s="2073"/>
      <c r="U63" s="2073"/>
      <c r="V63" s="2073"/>
      <c r="W63" s="2073"/>
      <c r="X63" s="2073"/>
      <c r="Y63" s="2073"/>
      <c r="Z63" s="2073"/>
      <c r="AA63" s="346"/>
      <c r="AB63" s="346"/>
      <c r="AC63" s="346"/>
    </row>
    <row r="64" spans="1:29" ht="12.45" customHeight="1">
      <c r="B64" s="277"/>
      <c r="H64" s="330"/>
      <c r="I64" s="326"/>
      <c r="J64" s="979"/>
      <c r="K64" s="1500"/>
      <c r="L64" s="1501"/>
      <c r="M64" s="1501"/>
      <c r="N64" s="1501"/>
      <c r="O64" s="253"/>
      <c r="P64" s="253"/>
      <c r="Q64" s="2073"/>
      <c r="R64" s="2073"/>
      <c r="S64" s="2073"/>
      <c r="T64" s="2073"/>
      <c r="U64" s="2073"/>
      <c r="V64" s="2073"/>
      <c r="W64" s="2073"/>
      <c r="X64" s="2073"/>
      <c r="Y64" s="2073"/>
      <c r="Z64" s="2073"/>
      <c r="AA64" s="346"/>
      <c r="AB64" s="346"/>
      <c r="AC64" s="346"/>
    </row>
    <row r="65" spans="1:29">
      <c r="A65" s="243"/>
      <c r="B65" s="329" t="s">
        <v>597</v>
      </c>
      <c r="C65" s="344" t="s">
        <v>598</v>
      </c>
      <c r="D65" s="243"/>
      <c r="E65" s="243"/>
      <c r="F65" s="243"/>
      <c r="G65" s="327" t="s">
        <v>599</v>
      </c>
      <c r="H65" s="976" t="str">
        <f>IF(SUM(H45:H63)=0,"",SUM(H45:H63))</f>
        <v/>
      </c>
      <c r="I65" s="979"/>
      <c r="J65" s="1488" t="s">
        <v>599</v>
      </c>
      <c r="K65" s="1504" t="str">
        <f>IF(SUM(K45:K63)=0,"",SUM(K45:K63))</f>
        <v/>
      </c>
      <c r="L65" s="1501"/>
      <c r="M65" s="1505" t="s">
        <v>599</v>
      </c>
      <c r="N65" s="1503" t="str">
        <f>IF(N(H65)+N(K65)=0,"",N(H65)+N(K65))</f>
        <v/>
      </c>
      <c r="O65" s="253"/>
      <c r="P65" s="253"/>
      <c r="Q65" s="346"/>
      <c r="R65" s="346"/>
      <c r="S65" s="346"/>
      <c r="T65" s="346"/>
      <c r="U65" s="346"/>
      <c r="V65" s="346"/>
      <c r="W65" s="346"/>
      <c r="X65" s="346"/>
      <c r="Y65" s="346"/>
      <c r="Z65" s="346"/>
      <c r="AA65" s="346"/>
      <c r="AB65" s="346"/>
      <c r="AC65" s="346"/>
    </row>
    <row r="66" spans="1:29" ht="12.45" customHeight="1">
      <c r="H66" s="980"/>
      <c r="I66" s="979"/>
      <c r="J66" s="979"/>
      <c r="K66" s="1500"/>
      <c r="L66" s="1501"/>
      <c r="M66" s="1501"/>
      <c r="N66" s="1501"/>
      <c r="O66" s="253"/>
      <c r="P66" s="253"/>
      <c r="Q66" s="346"/>
      <c r="R66" s="346"/>
      <c r="S66" s="346"/>
      <c r="T66" s="346"/>
      <c r="U66" s="346"/>
      <c r="V66" s="346"/>
      <c r="W66" s="346"/>
      <c r="X66" s="346"/>
      <c r="Y66" s="346"/>
      <c r="Z66" s="346"/>
      <c r="AA66" s="346"/>
      <c r="AB66" s="346"/>
      <c r="AC66" s="346"/>
    </row>
    <row r="67" spans="1:29" ht="13.8">
      <c r="B67" s="329" t="s">
        <v>600</v>
      </c>
      <c r="C67" s="344" t="s">
        <v>781</v>
      </c>
      <c r="D67" s="243"/>
      <c r="E67" s="243"/>
      <c r="F67" s="243"/>
      <c r="G67" s="243"/>
      <c r="H67" s="977"/>
      <c r="I67" s="979"/>
      <c r="J67" s="979"/>
      <c r="K67" s="1500"/>
      <c r="L67" s="1501"/>
      <c r="M67" s="1501"/>
      <c r="N67" s="1501"/>
      <c r="O67" s="253"/>
      <c r="P67" s="253"/>
      <c r="Q67" s="1635"/>
      <c r="R67" s="1636"/>
      <c r="S67" s="1636"/>
      <c r="T67" s="1636"/>
      <c r="U67" s="1636"/>
      <c r="V67" s="1636"/>
      <c r="W67" s="1636"/>
      <c r="X67" s="1636"/>
      <c r="Y67" s="1636"/>
      <c r="Z67" s="1636"/>
      <c r="AA67" s="346"/>
      <c r="AB67" s="346"/>
      <c r="AC67" s="346"/>
    </row>
    <row r="68" spans="1:29" ht="15" customHeight="1">
      <c r="B68" s="329"/>
      <c r="C68" s="344" t="str">
        <f>"(Max. "&amp;TEXT(DS_MaxGCFee,"0%")&amp;" of A1.1., column 3)"</f>
        <v>(Max. 14% of A1.1., column 3)</v>
      </c>
      <c r="D68" s="243"/>
      <c r="E68" s="243"/>
      <c r="F68" s="243"/>
      <c r="G68" s="327" t="s">
        <v>599</v>
      </c>
      <c r="H68" s="368"/>
      <c r="I68" s="979"/>
      <c r="J68" s="1488" t="s">
        <v>599</v>
      </c>
      <c r="K68" s="1502"/>
      <c r="L68" s="1501" t="str">
        <f>IF(N(K68)&lt;&gt;ROUNDDOWN(N(K68),0),1,"")</f>
        <v/>
      </c>
      <c r="M68" s="1505" t="s">
        <v>599</v>
      </c>
      <c r="N68" s="1503" t="str">
        <f>IF(H68+K68=0,"",H68+K68)</f>
        <v/>
      </c>
      <c r="O68" s="253"/>
      <c r="P68" s="255" t="str">
        <f>IF(P69="No","**","")</f>
        <v/>
      </c>
      <c r="Q68" s="2069" t="str">
        <f>IF(P69="No",IF(N(Actual_GCfee_total)=0,"The GC Fee must be disclosed.  If it is not, the RFA requires the scorer to add the maximum GC Fee ("&amp;TEXT(ROUNDDOWN(N(Actual_Constructioncost_total)*N(DS_MaxGCFee),0),"$#,##0.00")&amp;").","")&amp;IF(N(Actual_GCfee_total)&gt;N(GCF_DollarMax),"The amount entered for 'General Contractor Fee' is too high by "&amp;TEXT(N(Actual_GCfee_total)-N(GCF_DollarMax),"$#,##0.00")&amp;".  ",""),"")</f>
        <v/>
      </c>
      <c r="R68" s="2069"/>
      <c r="S68" s="2069"/>
      <c r="T68" s="2069"/>
      <c r="U68" s="2069"/>
      <c r="V68" s="2069"/>
      <c r="W68" s="2069"/>
      <c r="X68" s="2069"/>
      <c r="Y68" s="2069"/>
      <c r="Z68" s="2069"/>
      <c r="AA68" s="346"/>
      <c r="AB68" s="346"/>
      <c r="AC68" s="346"/>
    </row>
    <row r="69" spans="1:29">
      <c r="D69" s="2067" t="str">
        <f>"Max GCF @ "&amp;TEXT(DS_MaxGCFee,"#0%")&amp;":"</f>
        <v>Max GCF @ 14%:</v>
      </c>
      <c r="E69" s="2067"/>
      <c r="F69" s="1033">
        <f>ROUNDDOWN(DS_MaxGCFee*N(Actual_Constructioncost_total),0)</f>
        <v>0</v>
      </c>
      <c r="H69" s="981"/>
      <c r="I69" s="979"/>
      <c r="J69" s="979"/>
      <c r="K69" s="1500"/>
      <c r="L69" s="1501"/>
      <c r="M69" s="1501"/>
      <c r="N69" s="1501"/>
      <c r="O69" s="253"/>
      <c r="P69" s="1035" t="str">
        <f>IF(OR(AND(N(Actual_GCfee_total)=0,N(Actual_Constructioncost_total)&gt;0),N(Actual_GCfee_total)&gt;GCF_DollarMax),"No","Yes")</f>
        <v>Yes</v>
      </c>
      <c r="Q69" s="1637"/>
      <c r="R69" s="1638"/>
      <c r="S69" s="346"/>
      <c r="T69" s="346"/>
      <c r="U69" s="346"/>
      <c r="V69" s="346"/>
      <c r="W69" s="346"/>
      <c r="X69" s="346"/>
      <c r="Y69" s="346"/>
      <c r="Z69" s="346"/>
      <c r="AA69" s="346"/>
      <c r="AB69" s="346"/>
      <c r="AC69" s="346"/>
    </row>
    <row r="70" spans="1:29">
      <c r="B70" s="329" t="s">
        <v>601</v>
      </c>
      <c r="C70" s="328" t="s">
        <v>602</v>
      </c>
      <c r="D70" s="243"/>
      <c r="E70" s="243"/>
      <c r="F70" s="243"/>
      <c r="H70" s="980"/>
      <c r="I70" s="979"/>
      <c r="J70" s="979"/>
      <c r="K70" s="1500"/>
      <c r="L70" s="1501"/>
      <c r="M70" s="1501"/>
      <c r="N70" s="1501"/>
      <c r="O70" s="253"/>
      <c r="P70" s="253"/>
      <c r="Q70" s="346"/>
      <c r="R70" s="346"/>
      <c r="S70" s="346"/>
      <c r="T70" s="346"/>
      <c r="U70" s="346"/>
      <c r="V70" s="346"/>
      <c r="W70" s="346"/>
      <c r="X70" s="346"/>
      <c r="Y70" s="346"/>
      <c r="Z70" s="346"/>
      <c r="AA70" s="346"/>
      <c r="AB70" s="346"/>
      <c r="AC70" s="346"/>
    </row>
    <row r="71" spans="1:29">
      <c r="B71" s="329"/>
      <c r="C71" s="328"/>
      <c r="D71" s="328" t="s">
        <v>603</v>
      </c>
      <c r="E71" s="243"/>
      <c r="F71" s="243"/>
      <c r="G71" s="327" t="s">
        <v>599</v>
      </c>
      <c r="H71" s="976" t="str">
        <f>IF(SUM(H65:H70)=0,"",SUM(H65:H70))</f>
        <v/>
      </c>
      <c r="I71" s="979"/>
      <c r="J71" s="1488" t="s">
        <v>599</v>
      </c>
      <c r="K71" s="1504" t="str">
        <f>IF(SUM(K65:K70)=0,"",SUM(K65:K70))</f>
        <v/>
      </c>
      <c r="L71" s="1501"/>
      <c r="M71" s="1505" t="s">
        <v>599</v>
      </c>
      <c r="N71" s="1503" t="str">
        <f>IF(N(H71)+N(K71)=0,"",N(H71)+N(K71))</f>
        <v/>
      </c>
      <c r="O71" s="253"/>
      <c r="P71" s="253"/>
      <c r="Q71" s="1637"/>
      <c r="R71" s="1638"/>
      <c r="S71" s="346"/>
      <c r="T71" s="346"/>
      <c r="U71" s="346"/>
      <c r="V71" s="346"/>
      <c r="W71" s="346"/>
      <c r="X71" s="346"/>
      <c r="Y71" s="346"/>
      <c r="Z71" s="346"/>
      <c r="AA71" s="346"/>
      <c r="AB71" s="346"/>
      <c r="AC71" s="346"/>
    </row>
    <row r="72" spans="1:29" ht="12.45" customHeight="1">
      <c r="H72" s="980"/>
      <c r="I72" s="979"/>
      <c r="J72" s="979"/>
      <c r="K72" s="1500"/>
      <c r="L72" s="1501"/>
      <c r="M72" s="1501"/>
      <c r="N72" s="1501"/>
      <c r="O72" s="253"/>
      <c r="P72" s="253"/>
      <c r="Q72" s="1639"/>
      <c r="R72" s="1640"/>
      <c r="S72" s="1636"/>
      <c r="T72" s="1636"/>
      <c r="U72" s="1636"/>
      <c r="V72" s="1636"/>
      <c r="W72" s="1636"/>
      <c r="X72" s="1636"/>
      <c r="Y72" s="1636"/>
      <c r="Z72" s="1636"/>
      <c r="AA72" s="346"/>
      <c r="AB72" s="346"/>
      <c r="AC72" s="346"/>
    </row>
    <row r="73" spans="1:29" ht="15" customHeight="1">
      <c r="B73" s="329" t="s">
        <v>604</v>
      </c>
      <c r="C73" s="333" t="s">
        <v>782</v>
      </c>
      <c r="G73" s="327" t="s">
        <v>599</v>
      </c>
      <c r="H73" s="367"/>
      <c r="I73" s="979"/>
      <c r="J73" s="1488" t="s">
        <v>599</v>
      </c>
      <c r="K73" s="1502"/>
      <c r="L73" s="1501" t="str">
        <f>IF(N(K73)&lt;&gt;ROUNDDOWN(N(K73),0),1,"")</f>
        <v/>
      </c>
      <c r="M73" s="1505" t="s">
        <v>599</v>
      </c>
      <c r="N73" s="1503" t="str">
        <f>IF(H73+K73=0,"",H73+K73)</f>
        <v/>
      </c>
      <c r="O73" s="253"/>
      <c r="P73" s="255" t="str">
        <f>IF(OR(P74="No",AND(N(N73)&gt;0,P74="TBD")),"**","")</f>
        <v/>
      </c>
      <c r="Q73" s="2070" t="str">
        <f>IF(AND(Pro_Forma_Dev_Cat="Category Input Required",N(Actual_TotalConstructioncost_total)&gt;0),"Please select the applicable Development Category from the drop-down menu at the top of the Development Cost Pro Forma.",IF(P74="No","The amount entered for 'Hard Cost Contingency' is too high by "&amp;TEXT(N(Contingency_Hard_total)-N(HCC_DollarMax),"$#,##0.00")&amp;".  ",""))</f>
        <v/>
      </c>
      <c r="R73" s="2070"/>
      <c r="S73" s="2070"/>
      <c r="T73" s="2070"/>
      <c r="U73" s="2070"/>
      <c r="V73" s="2070"/>
      <c r="W73" s="2070"/>
      <c r="X73" s="2070"/>
      <c r="Y73" s="2070"/>
      <c r="Z73" s="2070"/>
      <c r="AA73" s="346"/>
      <c r="AB73" s="346"/>
      <c r="AC73" s="346"/>
    </row>
    <row r="74" spans="1:29">
      <c r="C74" s="1028"/>
      <c r="D74" s="2068" t="str">
        <f>"Max HCC @ "&amp;TEXT(IF(AND(ISERROR(SEARCH("New Construction",Pro_Forma_Dev_Cat)),ISERROR(SEARCH("Redevelopment",Pro_Forma_Dev_Cat))),DS_MaxHCCR,DS_MaxHCCNC),"#0%")&amp;":"</f>
        <v>Max HCC @ 5%:</v>
      </c>
      <c r="E74" s="2068"/>
      <c r="F74" s="1029">
        <f>IF(AND(Pro_Forma_Dev_Cat="Category Input Required",N(Actual_TotalConstructioncost_total)&gt;0),0,(IF(AND(ISERROR(SEARCH("New Construction",Pro_Forma_Dev_Cat)),ISERROR(SEARCH("Redevelopment",Pro_Forma_Dev_Cat))),DS_MaxHCCR,DS_MaxHCCNC)*N(Actual_TotalConstructioncost_total)))</f>
        <v>0</v>
      </c>
      <c r="H74" s="330"/>
      <c r="I74" s="326"/>
      <c r="J74" s="979"/>
      <c r="K74" s="1500"/>
      <c r="L74" s="979"/>
      <c r="M74" s="979"/>
      <c r="N74" s="979"/>
      <c r="O74" s="253"/>
      <c r="P74" s="1035" t="str">
        <f>IF(HCC_DollarMax="TBD","TBD",IF(N(Contingency_Hard_total)&lt;=HCC_DollarMax,"Yes","No"))</f>
        <v>Yes</v>
      </c>
      <c r="Q74" s="1637"/>
      <c r="R74" s="1638"/>
      <c r="S74" s="346"/>
      <c r="T74" s="346"/>
      <c r="U74" s="346"/>
      <c r="V74" s="346"/>
      <c r="W74" s="346"/>
      <c r="X74" s="346"/>
      <c r="Y74" s="346"/>
      <c r="Z74" s="346"/>
      <c r="AA74" s="346"/>
      <c r="AB74" s="346"/>
      <c r="AC74" s="346"/>
    </row>
    <row r="75" spans="1:29" ht="3.75" customHeight="1" thickBot="1">
      <c r="D75" s="291"/>
      <c r="E75" s="243"/>
      <c r="F75" s="243"/>
      <c r="G75" s="243"/>
      <c r="H75" s="295"/>
      <c r="I75" s="281"/>
      <c r="J75" s="1485"/>
      <c r="K75" s="1486"/>
      <c r="L75" s="1489"/>
      <c r="M75" s="1479"/>
      <c r="N75" s="1487"/>
      <c r="O75" s="253"/>
      <c r="P75" s="253"/>
      <c r="Q75" s="346"/>
      <c r="R75" s="346"/>
      <c r="S75" s="346"/>
      <c r="T75" s="346"/>
      <c r="U75" s="346"/>
      <c r="V75" s="346"/>
      <c r="W75" s="346"/>
      <c r="X75" s="346"/>
      <c r="Y75" s="346"/>
      <c r="Z75" s="346"/>
      <c r="AA75" s="346"/>
      <c r="AB75" s="346"/>
      <c r="AC75" s="346"/>
    </row>
    <row r="76" spans="1:29" ht="3.75" customHeight="1">
      <c r="A76" s="254"/>
      <c r="B76" s="254"/>
      <c r="C76" s="254"/>
      <c r="D76" s="254"/>
      <c r="E76" s="254"/>
      <c r="F76" s="254"/>
      <c r="G76" s="254"/>
      <c r="H76" s="254"/>
      <c r="I76" s="254"/>
      <c r="J76" s="1490"/>
      <c r="K76" s="1491"/>
      <c r="L76" s="1490"/>
      <c r="M76" s="1490"/>
      <c r="N76" s="1490"/>
      <c r="O76" s="308"/>
      <c r="P76" s="308"/>
      <c r="Q76" s="346"/>
      <c r="R76" s="346"/>
      <c r="S76" s="346"/>
      <c r="T76" s="346"/>
      <c r="U76" s="346"/>
      <c r="V76" s="346"/>
      <c r="W76" s="346"/>
      <c r="X76" s="346"/>
      <c r="Y76" s="346"/>
      <c r="Z76" s="346"/>
      <c r="AA76" s="346"/>
      <c r="AB76" s="346"/>
      <c r="AC76" s="346"/>
    </row>
    <row r="77" spans="1:29">
      <c r="B77" s="250" t="str">
        <f>B$2</f>
        <v>RFA 2022-109 DEVELOPMENT COST PRO FORMA</v>
      </c>
      <c r="H77" s="243"/>
      <c r="I77" s="243"/>
      <c r="J77" s="1479"/>
      <c r="K77" s="1492"/>
      <c r="L77" s="1479"/>
      <c r="M77" s="1479"/>
      <c r="N77" s="1479"/>
      <c r="O77" s="253"/>
      <c r="P77" s="252" t="str">
        <f>IF($Q$417=1,"(Page 2 of 8)","(Page 2 of 7)")</f>
        <v>(Page 2 of 7)</v>
      </c>
      <c r="Q77" s="346"/>
      <c r="R77" s="346"/>
      <c r="S77" s="346"/>
      <c r="T77" s="346"/>
      <c r="U77" s="346"/>
      <c r="V77" s="346"/>
      <c r="W77" s="346"/>
      <c r="X77" s="346"/>
      <c r="Y77" s="346"/>
      <c r="Z77" s="346"/>
      <c r="AA77" s="346"/>
      <c r="AB77" s="346"/>
      <c r="AC77" s="346"/>
    </row>
    <row r="78" spans="1:29">
      <c r="H78" s="345"/>
      <c r="I78" s="243"/>
      <c r="J78" s="1479"/>
      <c r="K78" s="1493"/>
      <c r="L78" s="1479"/>
      <c r="M78" s="1481"/>
      <c r="N78" s="1480"/>
      <c r="O78" s="253"/>
      <c r="P78" s="253"/>
      <c r="Q78" s="346"/>
      <c r="R78" s="346"/>
      <c r="S78" s="346"/>
      <c r="T78" s="346"/>
      <c r="U78" s="346"/>
      <c r="V78" s="346"/>
      <c r="W78" s="346"/>
      <c r="X78" s="346"/>
      <c r="Y78" s="346"/>
      <c r="Z78" s="346"/>
      <c r="AA78" s="346"/>
      <c r="AB78" s="346"/>
      <c r="AC78" s="346"/>
    </row>
    <row r="79" spans="1:29" ht="18" customHeight="1">
      <c r="H79" s="349" t="str">
        <f>H42</f>
        <v>TOTAL COSTS</v>
      </c>
      <c r="I79" s="369"/>
      <c r="J79" s="1483"/>
      <c r="K79" s="1494" t="str">
        <f>K42</f>
        <v>HC INELIGIBLE
COSTS</v>
      </c>
      <c r="L79" s="1495"/>
      <c r="M79" s="1496"/>
      <c r="N79" s="1495" t="str">
        <f>N42</f>
        <v>TOTAL
COSTS</v>
      </c>
      <c r="O79" s="253"/>
      <c r="P79" s="253"/>
      <c r="Q79" s="346"/>
      <c r="R79" s="346"/>
      <c r="S79" s="346"/>
      <c r="T79" s="346"/>
      <c r="U79" s="346"/>
      <c r="V79" s="346"/>
      <c r="W79" s="346"/>
      <c r="X79" s="346"/>
      <c r="Y79" s="346"/>
      <c r="Z79" s="346"/>
      <c r="AA79" s="346"/>
      <c r="AB79" s="346"/>
      <c r="AC79" s="346"/>
    </row>
    <row r="80" spans="1:29">
      <c r="C80" s="341" t="s">
        <v>605</v>
      </c>
      <c r="H80" s="243"/>
      <c r="I80" s="243"/>
      <c r="J80" s="1479"/>
      <c r="K80" s="1492"/>
      <c r="L80" s="1479"/>
      <c r="M80" s="1479"/>
      <c r="N80" s="1479"/>
      <c r="O80" s="253"/>
      <c r="P80" s="253"/>
      <c r="Q80" s="346"/>
      <c r="R80" s="346"/>
      <c r="S80" s="346"/>
      <c r="T80" s="346"/>
      <c r="U80" s="346"/>
      <c r="V80" s="346"/>
      <c r="W80" s="346"/>
      <c r="X80" s="346"/>
      <c r="Y80" s="346"/>
      <c r="Z80" s="346"/>
      <c r="AA80" s="346"/>
      <c r="AB80" s="346"/>
      <c r="AC80" s="346"/>
    </row>
    <row r="81" spans="3:29">
      <c r="C81" s="341"/>
      <c r="D81" s="291" t="s">
        <v>606</v>
      </c>
      <c r="H81" s="370"/>
      <c r="I81" s="979"/>
      <c r="J81" s="1485"/>
      <c r="K81" s="1502"/>
      <c r="L81" s="1501" t="str">
        <f>IF(N(K81)&lt;&gt;ROUNDDOWN(N(K81),0),1,"")</f>
        <v/>
      </c>
      <c r="M81" s="1501"/>
      <c r="N81" s="1503" t="str">
        <f>IF(H81+K81=0,"",H81+K81)</f>
        <v/>
      </c>
      <c r="O81" s="253"/>
      <c r="P81" s="253"/>
      <c r="Q81" s="2073" t="s">
        <v>860</v>
      </c>
      <c r="R81" s="2073"/>
      <c r="S81" s="2073"/>
      <c r="T81" s="2073"/>
      <c r="U81" s="2073"/>
      <c r="V81" s="2073"/>
      <c r="W81" s="2073"/>
      <c r="X81" s="2073"/>
      <c r="Y81" s="2073"/>
      <c r="Z81" s="2073"/>
      <c r="AA81" s="346"/>
      <c r="AB81" s="346"/>
      <c r="AC81" s="346"/>
    </row>
    <row r="82" spans="3:29" ht="12.45" customHeight="1">
      <c r="C82" s="341"/>
      <c r="H82" s="981"/>
      <c r="I82" s="979"/>
      <c r="J82" s="979"/>
      <c r="K82" s="1500"/>
      <c r="L82" s="1506"/>
      <c r="M82" s="1506"/>
      <c r="N82" s="1506"/>
      <c r="O82" s="253"/>
      <c r="P82" s="253"/>
      <c r="Q82" s="2073"/>
      <c r="R82" s="2073"/>
      <c r="S82" s="2073"/>
      <c r="T82" s="2073"/>
      <c r="U82" s="2073"/>
      <c r="V82" s="2073"/>
      <c r="W82" s="2073"/>
      <c r="X82" s="2073"/>
      <c r="Y82" s="2073"/>
      <c r="Z82" s="2073"/>
      <c r="AA82" s="346"/>
      <c r="AB82" s="346"/>
      <c r="AC82" s="346"/>
    </row>
    <row r="83" spans="3:29">
      <c r="C83" s="341"/>
      <c r="D83" s="291" t="s">
        <v>607</v>
      </c>
      <c r="H83" s="370"/>
      <c r="I83" s="979"/>
      <c r="J83" s="1485"/>
      <c r="K83" s="1502"/>
      <c r="L83" s="1501" t="str">
        <f>IF(N(K83)&lt;&gt;ROUNDDOWN(N(K83),0),1,"")</f>
        <v/>
      </c>
      <c r="M83" s="1506"/>
      <c r="N83" s="1503" t="str">
        <f>IF(H83+K83=0,"",H83+K83)</f>
        <v/>
      </c>
      <c r="O83" s="253"/>
      <c r="P83" s="253"/>
      <c r="Q83" s="347"/>
      <c r="R83" s="347"/>
      <c r="S83" s="347"/>
      <c r="T83" s="347"/>
      <c r="U83" s="347"/>
      <c r="V83" s="347"/>
      <c r="W83" s="347"/>
      <c r="X83" s="347"/>
      <c r="Y83" s="347"/>
      <c r="Z83" s="347"/>
      <c r="AA83" s="346"/>
      <c r="AB83" s="346"/>
      <c r="AC83" s="346"/>
    </row>
    <row r="84" spans="3:29" ht="12.45" customHeight="1">
      <c r="C84" s="341"/>
      <c r="H84" s="981"/>
      <c r="I84" s="979"/>
      <c r="J84" s="979"/>
      <c r="K84" s="1500"/>
      <c r="L84" s="1506"/>
      <c r="M84" s="1506"/>
      <c r="N84" s="1506"/>
      <c r="O84" s="253"/>
      <c r="P84" s="253"/>
      <c r="Q84" s="1636"/>
      <c r="R84" s="1636"/>
      <c r="S84" s="1636"/>
      <c r="T84" s="1636"/>
      <c r="U84" s="1636"/>
      <c r="V84" s="1636"/>
      <c r="W84" s="1636"/>
      <c r="X84" s="1636"/>
      <c r="Y84" s="1636"/>
      <c r="Z84" s="1636"/>
      <c r="AA84" s="346"/>
      <c r="AB84" s="346"/>
      <c r="AC84" s="346"/>
    </row>
    <row r="85" spans="3:29">
      <c r="D85" s="291" t="s">
        <v>608</v>
      </c>
      <c r="E85" s="243"/>
      <c r="F85" s="243"/>
      <c r="G85" s="243"/>
      <c r="H85" s="370"/>
      <c r="I85" s="979"/>
      <c r="J85" s="1485"/>
      <c r="K85" s="1502"/>
      <c r="L85" s="1501" t="str">
        <f>IF(N(K85)&lt;&gt;ROUNDDOWN(N(K85),0),1,"")</f>
        <v/>
      </c>
      <c r="M85" s="1501"/>
      <c r="N85" s="1503" t="str">
        <f>IF(H85+K85=0,"",H85+K85)</f>
        <v/>
      </c>
      <c r="O85" s="253"/>
      <c r="P85" s="253"/>
      <c r="Q85" s="2148" t="s">
        <v>859</v>
      </c>
      <c r="R85" s="2148"/>
      <c r="S85" s="2148"/>
      <c r="T85" s="2148"/>
      <c r="U85" s="2148"/>
      <c r="V85" s="2148"/>
      <c r="W85" s="2148"/>
      <c r="X85" s="2148"/>
      <c r="Y85" s="2148"/>
      <c r="Z85" s="2148"/>
      <c r="AA85" s="346"/>
      <c r="AB85" s="346"/>
      <c r="AC85" s="346"/>
    </row>
    <row r="86" spans="3:29" ht="12.45" customHeight="1">
      <c r="D86" s="335"/>
      <c r="H86" s="981"/>
      <c r="I86" s="979"/>
      <c r="J86" s="979"/>
      <c r="K86" s="1500"/>
      <c r="L86" s="1501"/>
      <c r="M86" s="1501"/>
      <c r="N86" s="1501"/>
      <c r="O86" s="253"/>
      <c r="P86" s="253"/>
      <c r="Q86" s="2148"/>
      <c r="R86" s="2148"/>
      <c r="S86" s="2148"/>
      <c r="T86" s="2148"/>
      <c r="U86" s="2148"/>
      <c r="V86" s="2148"/>
      <c r="W86" s="2148"/>
      <c r="X86" s="2148"/>
      <c r="Y86" s="2148"/>
      <c r="Z86" s="2148"/>
      <c r="AA86" s="346"/>
      <c r="AB86" s="346"/>
      <c r="AC86" s="346"/>
    </row>
    <row r="87" spans="3:29">
      <c r="D87" s="291" t="s">
        <v>609</v>
      </c>
      <c r="E87" s="243"/>
      <c r="F87" s="243"/>
      <c r="G87" s="243"/>
      <c r="H87" s="370"/>
      <c r="I87" s="979"/>
      <c r="J87" s="1485"/>
      <c r="K87" s="1502"/>
      <c r="L87" s="1501" t="str">
        <f>IF(N(K87)&lt;&gt;ROUNDDOWN(N(K87),0),1,"")</f>
        <v/>
      </c>
      <c r="M87" s="1501"/>
      <c r="N87" s="1503" t="str">
        <f>IF(H87+K87=0,"",H87+K87)</f>
        <v/>
      </c>
      <c r="O87" s="253"/>
      <c r="P87" s="253"/>
      <c r="Q87" s="346"/>
      <c r="R87" s="346"/>
      <c r="S87" s="346"/>
      <c r="T87" s="346"/>
      <c r="U87" s="346"/>
      <c r="V87" s="346"/>
      <c r="W87" s="346"/>
      <c r="X87" s="346"/>
      <c r="Y87" s="346"/>
      <c r="Z87" s="346"/>
      <c r="AA87" s="346"/>
      <c r="AB87" s="346"/>
      <c r="AC87" s="346"/>
    </row>
    <row r="88" spans="3:29" ht="12.45" customHeight="1">
      <c r="D88" s="335"/>
      <c r="H88" s="981"/>
      <c r="I88" s="979"/>
      <c r="J88" s="979"/>
      <c r="K88" s="1500"/>
      <c r="L88" s="1501"/>
      <c r="M88" s="1501"/>
      <c r="N88" s="1501"/>
      <c r="O88" s="253"/>
      <c r="P88" s="253"/>
      <c r="Q88" s="346"/>
      <c r="R88" s="346"/>
      <c r="S88" s="346"/>
      <c r="T88" s="346"/>
      <c r="U88" s="346"/>
      <c r="V88" s="346"/>
      <c r="W88" s="346"/>
      <c r="X88" s="346"/>
      <c r="Y88" s="346"/>
      <c r="Z88" s="346"/>
      <c r="AA88" s="346"/>
      <c r="AB88" s="346"/>
      <c r="AC88" s="346"/>
    </row>
    <row r="89" spans="3:29">
      <c r="D89" s="291" t="s">
        <v>610</v>
      </c>
      <c r="E89" s="243"/>
      <c r="F89" s="243"/>
      <c r="G89" s="243"/>
      <c r="H89" s="370"/>
      <c r="I89" s="979"/>
      <c r="J89" s="1485"/>
      <c r="K89" s="1502"/>
      <c r="L89" s="1501" t="str">
        <f>IF(N(K89)&lt;&gt;ROUNDDOWN(N(K89),0),1,"")</f>
        <v/>
      </c>
      <c r="M89" s="1501"/>
      <c r="N89" s="1503" t="str">
        <f>IF(H89+K89=0,"",H89+K89)</f>
        <v/>
      </c>
      <c r="O89" s="253"/>
      <c r="P89" s="253"/>
      <c r="Q89" s="346"/>
      <c r="R89" s="346"/>
      <c r="S89" s="346"/>
      <c r="T89" s="346"/>
      <c r="U89" s="346"/>
      <c r="V89" s="346"/>
      <c r="W89" s="346"/>
      <c r="X89" s="346"/>
      <c r="Y89" s="346"/>
      <c r="Z89" s="346"/>
      <c r="AA89" s="346"/>
      <c r="AB89" s="346"/>
      <c r="AC89" s="346"/>
    </row>
    <row r="90" spans="3:29" ht="12.45" customHeight="1">
      <c r="D90" s="335"/>
      <c r="H90" s="981"/>
      <c r="I90" s="979"/>
      <c r="J90" s="979"/>
      <c r="K90" s="1500"/>
      <c r="L90" s="1501"/>
      <c r="M90" s="1501"/>
      <c r="N90" s="1501"/>
      <c r="O90" s="253"/>
      <c r="P90" s="253"/>
      <c r="Q90" s="346"/>
      <c r="R90" s="346"/>
      <c r="S90" s="346"/>
      <c r="T90" s="346"/>
      <c r="U90" s="346"/>
      <c r="V90" s="346"/>
      <c r="W90" s="346"/>
      <c r="X90" s="346"/>
      <c r="Y90" s="346"/>
      <c r="Z90" s="346"/>
      <c r="AA90" s="346"/>
      <c r="AB90" s="346"/>
      <c r="AC90" s="346"/>
    </row>
    <row r="91" spans="3:29">
      <c r="D91" s="291" t="s">
        <v>611</v>
      </c>
      <c r="E91" s="243"/>
      <c r="F91" s="243"/>
      <c r="G91" s="243"/>
      <c r="H91" s="370"/>
      <c r="I91" s="979"/>
      <c r="J91" s="1485"/>
      <c r="K91" s="1502"/>
      <c r="L91" s="1501" t="str">
        <f>IF(N(K91)&lt;&gt;ROUNDDOWN(N(K91),0),1,"")</f>
        <v/>
      </c>
      <c r="M91" s="1501"/>
      <c r="N91" s="1503" t="str">
        <f>IF(H91+K91=0,"",H91+K91)</f>
        <v/>
      </c>
      <c r="O91" s="253"/>
      <c r="P91" s="253"/>
      <c r="Q91" s="346"/>
      <c r="R91" s="346"/>
      <c r="S91" s="346"/>
      <c r="T91" s="346"/>
      <c r="U91" s="346"/>
      <c r="V91" s="346"/>
      <c r="W91" s="346"/>
      <c r="X91" s="346"/>
      <c r="Y91" s="346"/>
      <c r="Z91" s="346"/>
      <c r="AA91" s="346"/>
      <c r="AB91" s="346"/>
      <c r="AC91" s="346"/>
    </row>
    <row r="92" spans="3:29" ht="12.45" customHeight="1">
      <c r="D92" s="335"/>
      <c r="H92" s="981"/>
      <c r="I92" s="979"/>
      <c r="J92" s="979"/>
      <c r="K92" s="1500"/>
      <c r="L92" s="1501"/>
      <c r="M92" s="1501"/>
      <c r="N92" s="1501"/>
      <c r="O92" s="253"/>
      <c r="P92" s="253"/>
      <c r="Q92" s="346"/>
      <c r="R92" s="346"/>
      <c r="S92" s="346"/>
      <c r="T92" s="346"/>
      <c r="U92" s="346"/>
      <c r="V92" s="346"/>
      <c r="W92" s="346"/>
      <c r="X92" s="346"/>
      <c r="Y92" s="346"/>
      <c r="Z92" s="346"/>
      <c r="AA92" s="346"/>
      <c r="AB92" s="346"/>
      <c r="AC92" s="346"/>
    </row>
    <row r="93" spans="3:29">
      <c r="D93" s="335" t="s">
        <v>612</v>
      </c>
      <c r="H93" s="370"/>
      <c r="I93" s="979"/>
      <c r="J93" s="1485"/>
      <c r="K93" s="1502"/>
      <c r="L93" s="1501" t="str">
        <f>IF(N(K93)&lt;&gt;ROUNDDOWN(N(K93),0),1,"")</f>
        <v/>
      </c>
      <c r="M93" s="1503"/>
      <c r="N93" s="1503" t="str">
        <f>IF(H93+K93=0,"",H93+K93)</f>
        <v/>
      </c>
      <c r="O93" s="253"/>
      <c r="P93" s="253"/>
      <c r="Q93" s="346"/>
      <c r="R93" s="346"/>
      <c r="S93" s="346"/>
      <c r="T93" s="346"/>
      <c r="U93" s="346"/>
      <c r="V93" s="346"/>
      <c r="W93" s="346"/>
      <c r="X93" s="346"/>
      <c r="Y93" s="346"/>
      <c r="Z93" s="346"/>
      <c r="AA93" s="346"/>
      <c r="AB93" s="346"/>
      <c r="AC93" s="346"/>
    </row>
    <row r="94" spans="3:29" ht="12.45" customHeight="1">
      <c r="D94" s="335"/>
      <c r="H94" s="981"/>
      <c r="I94" s="979"/>
      <c r="J94" s="979"/>
      <c r="K94" s="1500"/>
      <c r="L94" s="1501"/>
      <c r="M94" s="1501"/>
      <c r="N94" s="1501"/>
      <c r="O94" s="253"/>
      <c r="P94" s="253"/>
      <c r="Q94" s="346"/>
      <c r="R94" s="346"/>
      <c r="S94" s="346"/>
      <c r="T94" s="346"/>
      <c r="U94" s="346"/>
      <c r="V94" s="346"/>
      <c r="W94" s="346"/>
      <c r="X94" s="346"/>
      <c r="Y94" s="346"/>
      <c r="Z94" s="346"/>
      <c r="AA94" s="346"/>
      <c r="AB94" s="346"/>
      <c r="AC94" s="346"/>
    </row>
    <row r="95" spans="3:29" ht="12.75" customHeight="1">
      <c r="D95" s="277" t="s">
        <v>613</v>
      </c>
      <c r="E95" s="243"/>
      <c r="F95" s="243"/>
      <c r="G95" s="243"/>
      <c r="H95" s="370"/>
      <c r="I95" s="979"/>
      <c r="J95" s="1485"/>
      <c r="K95" s="1502"/>
      <c r="L95" s="1501" t="str">
        <f>IF(N(K95)&lt;&gt;ROUNDDOWN(N(K95),0),1,"")</f>
        <v/>
      </c>
      <c r="M95" s="1503"/>
      <c r="N95" s="1503" t="str">
        <f>IF(H95+K95=0,"",H95+K95)</f>
        <v/>
      </c>
      <c r="O95" s="253"/>
      <c r="P95" s="253"/>
      <c r="Q95" s="2073" t="s">
        <v>859</v>
      </c>
      <c r="R95" s="2073"/>
      <c r="S95" s="2073"/>
      <c r="T95" s="2073"/>
      <c r="U95" s="2073"/>
      <c r="V95" s="2073"/>
      <c r="W95" s="2073"/>
      <c r="X95" s="2073"/>
      <c r="Y95" s="2073"/>
      <c r="Z95" s="2073"/>
      <c r="AA95" s="346"/>
      <c r="AB95" s="346"/>
      <c r="AC95" s="346"/>
    </row>
    <row r="96" spans="3:29" ht="12.45" customHeight="1">
      <c r="D96" s="335"/>
      <c r="H96" s="981"/>
      <c r="I96" s="979"/>
      <c r="J96" s="979"/>
      <c r="K96" s="1500"/>
      <c r="L96" s="1501"/>
      <c r="M96" s="1501"/>
      <c r="N96" s="1501"/>
      <c r="O96" s="253"/>
      <c r="P96" s="253"/>
      <c r="Q96" s="2073"/>
      <c r="R96" s="2073"/>
      <c r="S96" s="2073"/>
      <c r="T96" s="2073"/>
      <c r="U96" s="2073"/>
      <c r="V96" s="2073"/>
      <c r="W96" s="2073"/>
      <c r="X96" s="2073"/>
      <c r="Y96" s="2073"/>
      <c r="Z96" s="2073"/>
      <c r="AA96" s="346"/>
      <c r="AB96" s="346"/>
      <c r="AC96" s="346"/>
    </row>
    <row r="97" spans="4:29">
      <c r="D97" s="277" t="s">
        <v>614</v>
      </c>
      <c r="E97" s="243"/>
      <c r="F97" s="243"/>
      <c r="G97" s="243"/>
      <c r="H97" s="370"/>
      <c r="I97" s="979"/>
      <c r="J97" s="1485"/>
      <c r="K97" s="1502"/>
      <c r="L97" s="1501" t="str">
        <f>IF(N(K97)&lt;&gt;ROUNDDOWN(N(K97),0),1,"")</f>
        <v/>
      </c>
      <c r="M97" s="1503"/>
      <c r="N97" s="1503" t="str">
        <f>IF(H97+K97=0,"",H97+K97)</f>
        <v/>
      </c>
      <c r="O97" s="253"/>
      <c r="P97" s="253"/>
      <c r="Q97" s="2073" t="s">
        <v>858</v>
      </c>
      <c r="R97" s="2073"/>
      <c r="S97" s="2073"/>
      <c r="T97" s="2073"/>
      <c r="U97" s="2073"/>
      <c r="V97" s="2073"/>
      <c r="W97" s="2073"/>
      <c r="X97" s="2073"/>
      <c r="Y97" s="2073"/>
      <c r="Z97" s="2073"/>
      <c r="AA97" s="346"/>
      <c r="AB97" s="346"/>
      <c r="AC97" s="346"/>
    </row>
    <row r="98" spans="4:29" ht="12.45" customHeight="1">
      <c r="D98" s="335"/>
      <c r="H98" s="330"/>
      <c r="I98" s="326"/>
      <c r="J98" s="979"/>
      <c r="K98" s="1500"/>
      <c r="L98" s="1501"/>
      <c r="M98" s="1501"/>
      <c r="N98" s="1501"/>
      <c r="O98" s="253"/>
      <c r="P98" s="253"/>
      <c r="Q98" s="2073"/>
      <c r="R98" s="2073"/>
      <c r="S98" s="2073"/>
      <c r="T98" s="2073"/>
      <c r="U98" s="2073"/>
      <c r="V98" s="2073"/>
      <c r="W98" s="2073"/>
      <c r="X98" s="2073"/>
      <c r="Y98" s="2073"/>
      <c r="Z98" s="2073"/>
      <c r="AA98" s="346"/>
      <c r="AB98" s="346"/>
      <c r="AC98" s="346"/>
    </row>
    <row r="99" spans="4:29" ht="13.8">
      <c r="D99" s="277" t="s">
        <v>857</v>
      </c>
      <c r="E99" s="243"/>
      <c r="F99" s="243"/>
      <c r="G99" s="727"/>
      <c r="H99" s="370"/>
      <c r="I99" s="326"/>
      <c r="J99" s="1485"/>
      <c r="K99" s="1502"/>
      <c r="L99" s="1501" t="str">
        <f>IF(N(K99)&lt;&gt;ROUNDDOWN(N(K99),0),1,"")</f>
        <v/>
      </c>
      <c r="M99" s="1503"/>
      <c r="N99" s="1503" t="str">
        <f>IF(H99+K99=0,"",H99+K99)</f>
        <v/>
      </c>
      <c r="O99" s="253"/>
      <c r="P99" s="253"/>
      <c r="Q99" s="346"/>
      <c r="R99" s="346"/>
      <c r="S99" s="346"/>
      <c r="T99" s="346"/>
      <c r="U99" s="346"/>
      <c r="V99" s="346"/>
      <c r="W99" s="346"/>
      <c r="X99" s="346"/>
      <c r="Y99" s="346"/>
      <c r="Z99" s="346"/>
      <c r="AA99" s="346"/>
      <c r="AB99" s="346"/>
      <c r="AC99" s="346"/>
    </row>
    <row r="100" spans="4:29" ht="12.45" customHeight="1">
      <c r="D100" s="335"/>
      <c r="H100" s="981"/>
      <c r="I100" s="326"/>
      <c r="J100" s="979"/>
      <c r="K100" s="1500"/>
      <c r="L100" s="1501"/>
      <c r="M100" s="1501"/>
      <c r="N100" s="1501"/>
      <c r="O100" s="253"/>
      <c r="P100" s="253"/>
      <c r="Q100" s="346"/>
      <c r="R100" s="346"/>
      <c r="S100" s="346"/>
      <c r="T100" s="346"/>
      <c r="U100" s="346"/>
      <c r="V100" s="346"/>
      <c r="W100" s="346"/>
      <c r="X100" s="346"/>
      <c r="Y100" s="346"/>
      <c r="Z100" s="346"/>
      <c r="AA100" s="346"/>
      <c r="AB100" s="346"/>
      <c r="AC100" s="346"/>
    </row>
    <row r="101" spans="4:29" ht="13.8">
      <c r="D101" s="277" t="s">
        <v>856</v>
      </c>
      <c r="E101" s="243"/>
      <c r="F101" s="243"/>
      <c r="G101" s="727"/>
      <c r="H101" s="370"/>
      <c r="I101" s="326"/>
      <c r="J101" s="1485"/>
      <c r="K101" s="1502"/>
      <c r="L101" s="1501" t="str">
        <f>IF(N(K101)&lt;&gt;ROUNDDOWN(N(K101),0),1,"")</f>
        <v/>
      </c>
      <c r="M101" s="1503"/>
      <c r="N101" s="1503" t="str">
        <f>IF(H101+K101=0,"",H101+K101)</f>
        <v/>
      </c>
      <c r="O101" s="253"/>
      <c r="P101" s="253"/>
      <c r="Q101" s="2072" t="s">
        <v>842</v>
      </c>
      <c r="R101" s="2072"/>
      <c r="S101" s="2072"/>
      <c r="T101" s="2072"/>
      <c r="U101" s="2072"/>
      <c r="V101" s="2072"/>
      <c r="W101" s="2072"/>
      <c r="X101" s="2072"/>
      <c r="Y101" s="2072"/>
      <c r="Z101" s="2072"/>
      <c r="AA101" s="346"/>
      <c r="AB101" s="346"/>
      <c r="AC101" s="346"/>
    </row>
    <row r="102" spans="4:29" ht="12.45" customHeight="1">
      <c r="D102" s="335"/>
      <c r="H102" s="981"/>
      <c r="I102" s="326"/>
      <c r="J102" s="979"/>
      <c r="K102" s="1500"/>
      <c r="L102" s="1501"/>
      <c r="M102" s="1501"/>
      <c r="N102" s="1501"/>
      <c r="O102" s="253"/>
      <c r="P102" s="253"/>
      <c r="Q102" s="2072"/>
      <c r="R102" s="2072"/>
      <c r="S102" s="2072"/>
      <c r="T102" s="2072"/>
      <c r="U102" s="2072"/>
      <c r="V102" s="2072"/>
      <c r="W102" s="2072"/>
      <c r="X102" s="2072"/>
      <c r="Y102" s="2072"/>
      <c r="Z102" s="2072"/>
      <c r="AA102" s="346"/>
      <c r="AB102" s="346"/>
      <c r="AC102" s="346"/>
    </row>
    <row r="103" spans="4:29" ht="13.8">
      <c r="D103" s="277" t="s">
        <v>855</v>
      </c>
      <c r="E103" s="243"/>
      <c r="F103" s="243"/>
      <c r="G103" s="727"/>
      <c r="H103" s="370"/>
      <c r="I103" s="326"/>
      <c r="J103" s="1485"/>
      <c r="K103" s="1502"/>
      <c r="L103" s="1501" t="str">
        <f>IF(N(K103)&lt;&gt;ROUNDDOWN(N(K103),0),1,"")</f>
        <v/>
      </c>
      <c r="M103" s="1503"/>
      <c r="N103" s="1503" t="str">
        <f>IF(H103+K103=0,"",H103+K103)</f>
        <v/>
      </c>
      <c r="O103" s="253"/>
      <c r="P103" s="253"/>
      <c r="Q103" s="346"/>
      <c r="R103" s="346"/>
      <c r="S103" s="346"/>
      <c r="T103" s="346"/>
      <c r="U103" s="346"/>
      <c r="V103" s="346"/>
      <c r="W103" s="346"/>
      <c r="X103" s="346"/>
      <c r="Y103" s="346"/>
      <c r="Z103" s="346"/>
      <c r="AA103" s="346"/>
      <c r="AB103" s="346"/>
      <c r="AC103" s="346"/>
    </row>
    <row r="104" spans="4:29" ht="12.45" customHeight="1">
      <c r="D104" s="335"/>
      <c r="H104" s="981"/>
      <c r="I104" s="326"/>
      <c r="J104" s="979"/>
      <c r="K104" s="1500"/>
      <c r="L104" s="1501"/>
      <c r="M104" s="1501"/>
      <c r="N104" s="1501"/>
      <c r="O104" s="253"/>
      <c r="P104" s="253"/>
      <c r="Q104" s="346"/>
      <c r="R104" s="346"/>
      <c r="S104" s="346"/>
      <c r="T104" s="346"/>
      <c r="U104" s="346"/>
      <c r="V104" s="346"/>
      <c r="W104" s="346"/>
      <c r="X104" s="346"/>
      <c r="Y104" s="346"/>
      <c r="Z104" s="346"/>
      <c r="AA104" s="346"/>
      <c r="AB104" s="346"/>
      <c r="AC104" s="346"/>
    </row>
    <row r="105" spans="4:29" ht="12.75" customHeight="1">
      <c r="D105" s="277" t="s">
        <v>854</v>
      </c>
      <c r="E105" s="243"/>
      <c r="F105" s="243"/>
      <c r="G105" s="727"/>
      <c r="H105" s="370"/>
      <c r="I105" s="326"/>
      <c r="J105" s="1485"/>
      <c r="K105" s="1502"/>
      <c r="L105" s="1501" t="str">
        <f>IF(N(K105)&lt;&gt;ROUNDDOWN(N(K105),0),1,"")</f>
        <v/>
      </c>
      <c r="M105" s="1503"/>
      <c r="N105" s="1503" t="str">
        <f>IF(H105+K105=0,"",H105+K105)</f>
        <v/>
      </c>
      <c r="O105" s="253"/>
      <c r="P105" s="253"/>
      <c r="Q105" s="2072" t="s">
        <v>842</v>
      </c>
      <c r="R105" s="2072"/>
      <c r="S105" s="2072"/>
      <c r="T105" s="2072"/>
      <c r="U105" s="2072"/>
      <c r="V105" s="2072"/>
      <c r="W105" s="2072"/>
      <c r="X105" s="2072"/>
      <c r="Y105" s="2072"/>
      <c r="Z105" s="2072"/>
      <c r="AA105" s="346"/>
      <c r="AB105" s="346"/>
      <c r="AC105" s="346"/>
    </row>
    <row r="106" spans="4:29" ht="12.45" customHeight="1">
      <c r="D106" s="335"/>
      <c r="G106" s="637"/>
      <c r="H106" s="981"/>
      <c r="I106" s="326"/>
      <c r="J106" s="979"/>
      <c r="K106" s="1500"/>
      <c r="L106" s="1501"/>
      <c r="M106" s="1501"/>
      <c r="N106" s="1501"/>
      <c r="O106" s="253"/>
      <c r="P106" s="253"/>
      <c r="Q106" s="2072"/>
      <c r="R106" s="2072"/>
      <c r="S106" s="2072"/>
      <c r="T106" s="2072"/>
      <c r="U106" s="2072"/>
      <c r="V106" s="2072"/>
      <c r="W106" s="2072"/>
      <c r="X106" s="2072"/>
      <c r="Y106" s="2072"/>
      <c r="Z106" s="2072"/>
      <c r="AA106" s="346"/>
      <c r="AB106" s="346"/>
      <c r="AC106" s="346"/>
    </row>
    <row r="107" spans="4:29">
      <c r="D107" s="277" t="s">
        <v>615</v>
      </c>
      <c r="E107" s="243"/>
      <c r="H107" s="282"/>
      <c r="I107" s="282"/>
      <c r="J107" s="979"/>
      <c r="K107" s="1500"/>
      <c r="L107" s="1501"/>
      <c r="M107" s="1501"/>
      <c r="N107" s="1501"/>
      <c r="O107" s="253"/>
      <c r="P107" s="253"/>
      <c r="Q107" s="346"/>
      <c r="R107" s="346"/>
      <c r="S107" s="346"/>
      <c r="T107" s="346"/>
      <c r="U107" s="346"/>
      <c r="V107" s="346"/>
      <c r="W107" s="346"/>
      <c r="X107" s="346"/>
      <c r="Y107" s="346"/>
      <c r="Z107" s="346"/>
      <c r="AA107" s="346"/>
      <c r="AB107" s="346"/>
      <c r="AC107" s="346"/>
    </row>
    <row r="108" spans="4:29">
      <c r="D108" s="277"/>
      <c r="E108" s="243" t="s">
        <v>616</v>
      </c>
      <c r="H108" s="370"/>
      <c r="I108" s="326"/>
      <c r="J108" s="1485"/>
      <c r="K108" s="1502"/>
      <c r="L108" s="1501" t="str">
        <f>IF(N(K108)&lt;&gt;ROUNDDOWN(N(K108),0),1,"")</f>
        <v/>
      </c>
      <c r="M108" s="1503"/>
      <c r="N108" s="1503" t="str">
        <f>IF(H108+K108=0,"",H108+K108)</f>
        <v/>
      </c>
      <c r="O108" s="253"/>
      <c r="P108" s="253"/>
      <c r="Q108" s="346"/>
      <c r="R108" s="346"/>
      <c r="S108" s="346"/>
      <c r="T108" s="346"/>
      <c r="U108" s="346"/>
      <c r="V108" s="346"/>
      <c r="W108" s="346"/>
      <c r="X108" s="346"/>
      <c r="Y108" s="346"/>
      <c r="Z108" s="346"/>
      <c r="AA108" s="346"/>
      <c r="AB108" s="346"/>
      <c r="AC108" s="346"/>
    </row>
    <row r="109" spans="4:29" ht="12.45" customHeight="1">
      <c r="D109" s="335"/>
      <c r="H109" s="330"/>
      <c r="I109" s="326"/>
      <c r="J109" s="979"/>
      <c r="K109" s="1500"/>
      <c r="L109" s="1501"/>
      <c r="M109" s="1501"/>
      <c r="N109" s="1501"/>
      <c r="O109" s="253"/>
      <c r="P109" s="253"/>
      <c r="Q109" s="346"/>
      <c r="R109" s="346"/>
      <c r="S109" s="346"/>
      <c r="T109" s="346"/>
      <c r="U109" s="346"/>
      <c r="V109" s="346"/>
      <c r="W109" s="346"/>
      <c r="X109" s="346"/>
      <c r="Y109" s="346"/>
      <c r="Z109" s="346"/>
      <c r="AA109" s="346"/>
      <c r="AB109" s="346"/>
      <c r="AC109" s="346"/>
    </row>
    <row r="110" spans="4:29">
      <c r="D110" s="328" t="s">
        <v>617</v>
      </c>
      <c r="E110" s="243"/>
      <c r="F110" s="243"/>
      <c r="G110" s="243"/>
      <c r="H110" s="332"/>
      <c r="I110" s="326"/>
      <c r="J110" s="1485"/>
      <c r="K110" s="1502"/>
      <c r="L110" s="1501" t="str">
        <f>IF(N(K110)&lt;&gt;ROUNDDOWN(N(K110),0),1,"")</f>
        <v/>
      </c>
      <c r="M110" s="1503"/>
      <c r="N110" s="1503" t="str">
        <f>IF(H110+K110=0,"",H110+K110)</f>
        <v/>
      </c>
      <c r="O110" s="253"/>
      <c r="P110" s="253"/>
      <c r="Q110" s="2149" t="s">
        <v>853</v>
      </c>
      <c r="R110" s="2149"/>
      <c r="S110" s="2149"/>
      <c r="T110" s="2149"/>
      <c r="U110" s="2149"/>
      <c r="V110" s="2149"/>
      <c r="W110" s="2149"/>
      <c r="X110" s="2149"/>
      <c r="Y110" s="2149"/>
      <c r="Z110" s="2149"/>
      <c r="AA110" s="346"/>
      <c r="AB110" s="346"/>
      <c r="AC110" s="346"/>
    </row>
    <row r="111" spans="4:29" ht="12.45" customHeight="1">
      <c r="D111" s="348"/>
      <c r="E111" s="306"/>
      <c r="F111" s="306"/>
      <c r="G111" s="306"/>
      <c r="H111" s="330"/>
      <c r="I111" s="326"/>
      <c r="J111" s="979"/>
      <c r="K111" s="1500"/>
      <c r="L111" s="1507"/>
      <c r="M111" s="1501"/>
      <c r="N111" s="1501"/>
      <c r="O111" s="253"/>
      <c r="P111" s="253"/>
      <c r="Q111" s="2149"/>
      <c r="R111" s="2149"/>
      <c r="S111" s="2149"/>
      <c r="T111" s="2149"/>
      <c r="U111" s="2149"/>
      <c r="V111" s="2149"/>
      <c r="W111" s="2149"/>
      <c r="X111" s="2149"/>
      <c r="Y111" s="2149"/>
      <c r="Z111" s="2149"/>
      <c r="AA111" s="346"/>
      <c r="AB111" s="346"/>
      <c r="AC111" s="346"/>
    </row>
    <row r="112" spans="4:29">
      <c r="D112" s="277" t="s">
        <v>618</v>
      </c>
      <c r="E112" s="243"/>
      <c r="F112" s="243"/>
      <c r="G112" s="243"/>
      <c r="H112" s="370"/>
      <c r="I112" s="326"/>
      <c r="J112" s="1485"/>
      <c r="K112" s="1502"/>
      <c r="L112" s="1501" t="str">
        <f>IF(N(K112)&lt;&gt;ROUNDDOWN(N(K112),0),1,"")</f>
        <v/>
      </c>
      <c r="M112" s="1503"/>
      <c r="N112" s="1503" t="str">
        <f>IF(H112+K112=0,"",H112+K112)</f>
        <v/>
      </c>
      <c r="O112" s="253"/>
      <c r="P112" s="253"/>
      <c r="Q112" s="2072" t="s">
        <v>852</v>
      </c>
      <c r="R112" s="2072"/>
      <c r="S112" s="2072"/>
      <c r="T112" s="2072"/>
      <c r="U112" s="2072"/>
      <c r="V112" s="2072"/>
      <c r="W112" s="2072"/>
      <c r="X112" s="2072"/>
      <c r="Y112" s="2072"/>
      <c r="Z112" s="2072"/>
      <c r="AA112" s="346"/>
      <c r="AB112" s="346"/>
      <c r="AC112" s="346"/>
    </row>
    <row r="113" spans="4:29" ht="12.45" customHeight="1">
      <c r="D113" s="335"/>
      <c r="H113" s="330"/>
      <c r="I113" s="326"/>
      <c r="J113" s="979"/>
      <c r="K113" s="1500"/>
      <c r="L113" s="1501"/>
      <c r="M113" s="1501"/>
      <c r="N113" s="1501"/>
      <c r="O113" s="253"/>
      <c r="P113" s="253"/>
      <c r="Q113" s="2072"/>
      <c r="R113" s="2072"/>
      <c r="S113" s="2072"/>
      <c r="T113" s="2072"/>
      <c r="U113" s="2072"/>
      <c r="V113" s="2072"/>
      <c r="W113" s="2072"/>
      <c r="X113" s="2072"/>
      <c r="Y113" s="2072"/>
      <c r="Z113" s="2072"/>
      <c r="AA113" s="346"/>
      <c r="AB113" s="346"/>
      <c r="AC113" s="346"/>
    </row>
    <row r="114" spans="4:29">
      <c r="D114" s="277" t="s">
        <v>619</v>
      </c>
      <c r="E114" s="243"/>
      <c r="F114" s="243"/>
      <c r="G114" s="243"/>
      <c r="H114" s="332"/>
      <c r="I114" s="326"/>
      <c r="J114" s="1485"/>
      <c r="K114" s="1502"/>
      <c r="L114" s="1501" t="str">
        <f>IF(N(K114)&lt;&gt;ROUNDDOWN(N(K114),0),1,"")</f>
        <v/>
      </c>
      <c r="M114" s="1503"/>
      <c r="N114" s="1503" t="str">
        <f>IF(H114+K114=0,"",H114+K114)</f>
        <v/>
      </c>
      <c r="O114" s="253"/>
      <c r="P114" s="253"/>
      <c r="Q114" s="346"/>
      <c r="R114" s="346"/>
      <c r="S114" s="346"/>
      <c r="T114" s="346"/>
      <c r="U114" s="346"/>
      <c r="V114" s="346"/>
      <c r="W114" s="346"/>
      <c r="X114" s="346"/>
      <c r="Y114" s="346"/>
      <c r="Z114" s="346"/>
      <c r="AA114" s="346"/>
      <c r="AB114" s="346"/>
      <c r="AC114" s="346"/>
    </row>
    <row r="115" spans="4:29" ht="12.45" customHeight="1">
      <c r="D115" s="348"/>
      <c r="E115" s="306"/>
      <c r="F115" s="306"/>
      <c r="G115" s="306"/>
      <c r="H115" s="330"/>
      <c r="I115" s="326"/>
      <c r="J115" s="979"/>
      <c r="K115" s="1500"/>
      <c r="L115" s="1507"/>
      <c r="M115" s="1501"/>
      <c r="N115" s="1501"/>
      <c r="O115" s="253"/>
      <c r="P115" s="253"/>
      <c r="Q115" s="346"/>
      <c r="R115" s="346"/>
      <c r="S115" s="346"/>
      <c r="T115" s="346"/>
      <c r="U115" s="346"/>
      <c r="V115" s="346"/>
      <c r="W115" s="346"/>
      <c r="X115" s="346"/>
      <c r="Y115" s="346"/>
      <c r="Z115" s="346"/>
      <c r="AA115" s="346"/>
      <c r="AB115" s="346"/>
      <c r="AC115" s="346"/>
    </row>
    <row r="116" spans="4:29">
      <c r="D116" s="277" t="s">
        <v>620</v>
      </c>
      <c r="E116" s="243"/>
      <c r="F116" s="243"/>
      <c r="G116" s="243"/>
      <c r="H116" s="332"/>
      <c r="I116" s="326"/>
      <c r="J116" s="1485"/>
      <c r="K116" s="1502"/>
      <c r="L116" s="1501" t="str">
        <f>IF(N(K116)&lt;&gt;ROUNDDOWN(N(K116),0),1,"")</f>
        <v/>
      </c>
      <c r="M116" s="1503"/>
      <c r="N116" s="1503" t="str">
        <f>IF(H116+K116=0,"",H116+K116)</f>
        <v/>
      </c>
      <c r="O116" s="253"/>
      <c r="P116" s="253"/>
      <c r="Q116" s="2073" t="s">
        <v>851</v>
      </c>
      <c r="R116" s="2073"/>
      <c r="S116" s="2073"/>
      <c r="T116" s="2073"/>
      <c r="U116" s="2073"/>
      <c r="V116" s="2073"/>
      <c r="W116" s="2073"/>
      <c r="X116" s="2073"/>
      <c r="Y116" s="2073"/>
      <c r="Z116" s="2073"/>
      <c r="AA116" s="346"/>
      <c r="AB116" s="346"/>
      <c r="AC116" s="346"/>
    </row>
    <row r="117" spans="4:29" ht="12.45" customHeight="1">
      <c r="D117" s="335"/>
      <c r="H117" s="330"/>
      <c r="I117" s="326"/>
      <c r="J117" s="979"/>
      <c r="K117" s="1500"/>
      <c r="L117" s="1501"/>
      <c r="M117" s="1501"/>
      <c r="N117" s="1501"/>
      <c r="O117" s="253"/>
      <c r="P117" s="253"/>
      <c r="Q117" s="2073"/>
      <c r="R117" s="2073"/>
      <c r="S117" s="2073"/>
      <c r="T117" s="2073"/>
      <c r="U117" s="2073"/>
      <c r="V117" s="2073"/>
      <c r="W117" s="2073"/>
      <c r="X117" s="2073"/>
      <c r="Y117" s="2073"/>
      <c r="Z117" s="2073"/>
      <c r="AA117" s="346"/>
      <c r="AB117" s="346"/>
      <c r="AC117" s="346"/>
    </row>
    <row r="118" spans="4:29">
      <c r="D118" s="277" t="s">
        <v>621</v>
      </c>
      <c r="E118" s="243"/>
      <c r="F118" s="243"/>
      <c r="G118" s="243"/>
      <c r="H118" s="332"/>
      <c r="I118" s="326"/>
      <c r="J118" s="1485"/>
      <c r="K118" s="1502"/>
      <c r="L118" s="1501" t="str">
        <f>IF(N(K118)&lt;&gt;ROUNDDOWN(N(K118),0),1,"")</f>
        <v/>
      </c>
      <c r="M118" s="1503"/>
      <c r="N118" s="1503" t="str">
        <f>IF(H118+K118=0,"",H118+K118)</f>
        <v/>
      </c>
      <c r="O118" s="253"/>
      <c r="P118" s="253"/>
      <c r="Q118" s="2073" t="s">
        <v>850</v>
      </c>
      <c r="R118" s="2073"/>
      <c r="S118" s="2073"/>
      <c r="T118" s="2073"/>
      <c r="U118" s="2073"/>
      <c r="V118" s="2073"/>
      <c r="W118" s="2073"/>
      <c r="X118" s="2073"/>
      <c r="Y118" s="2073"/>
      <c r="Z118" s="2073"/>
      <c r="AA118" s="346"/>
      <c r="AB118" s="346"/>
      <c r="AC118" s="346"/>
    </row>
    <row r="119" spans="4:29" ht="12.45" customHeight="1">
      <c r="D119" s="335"/>
      <c r="H119" s="330"/>
      <c r="I119" s="326"/>
      <c r="J119" s="979"/>
      <c r="K119" s="1500"/>
      <c r="L119" s="1501"/>
      <c r="M119" s="1501"/>
      <c r="N119" s="1501"/>
      <c r="O119" s="253"/>
      <c r="P119" s="253"/>
      <c r="Q119" s="2073"/>
      <c r="R119" s="2073"/>
      <c r="S119" s="2073"/>
      <c r="T119" s="2073"/>
      <c r="U119" s="2073"/>
      <c r="V119" s="2073"/>
      <c r="W119" s="2073"/>
      <c r="X119" s="2073"/>
      <c r="Y119" s="2073"/>
      <c r="Z119" s="2073"/>
      <c r="AA119" s="346"/>
      <c r="AB119" s="346"/>
      <c r="AC119" s="346"/>
    </row>
    <row r="120" spans="4:29">
      <c r="D120" s="277" t="s">
        <v>622</v>
      </c>
      <c r="E120" s="243"/>
      <c r="F120" s="243"/>
      <c r="G120" s="243"/>
      <c r="H120" s="1662"/>
      <c r="I120" s="326"/>
      <c r="J120" s="1485"/>
      <c r="K120" s="1502"/>
      <c r="L120" s="1501" t="str">
        <f>IF(N(K120)&lt;&gt;ROUNDDOWN(N(K120),0),1,"")</f>
        <v/>
      </c>
      <c r="M120" s="1503"/>
      <c r="N120" s="1503" t="str">
        <f>IF(H120+K120=0,"",H120+K120)</f>
        <v/>
      </c>
      <c r="O120" s="253"/>
      <c r="P120" s="253"/>
      <c r="Q120" s="2072" t="s">
        <v>842</v>
      </c>
      <c r="R120" s="2072"/>
      <c r="S120" s="2072"/>
      <c r="T120" s="2072"/>
      <c r="U120" s="2072"/>
      <c r="V120" s="2072"/>
      <c r="W120" s="2072"/>
      <c r="X120" s="2072"/>
      <c r="Y120" s="2072"/>
      <c r="Z120" s="2072"/>
      <c r="AA120" s="346"/>
      <c r="AB120" s="346"/>
      <c r="AC120" s="346"/>
    </row>
    <row r="121" spans="4:29" ht="12.45" customHeight="1">
      <c r="D121" s="335"/>
      <c r="H121" s="330"/>
      <c r="I121" s="326"/>
      <c r="J121" s="979"/>
      <c r="K121" s="1500"/>
      <c r="L121" s="1501"/>
      <c r="M121" s="1501"/>
      <c r="N121" s="1501"/>
      <c r="O121" s="253"/>
      <c r="P121" s="253"/>
      <c r="Q121" s="2072"/>
      <c r="R121" s="2072"/>
      <c r="S121" s="2072"/>
      <c r="T121" s="2072"/>
      <c r="U121" s="2072"/>
      <c r="V121" s="2072"/>
      <c r="W121" s="2072"/>
      <c r="X121" s="2072"/>
      <c r="Y121" s="2072"/>
      <c r="Z121" s="2072"/>
      <c r="AA121" s="346"/>
      <c r="AB121" s="346"/>
      <c r="AC121" s="346"/>
    </row>
    <row r="122" spans="4:29" ht="12.75" customHeight="1">
      <c r="D122" s="277" t="s">
        <v>623</v>
      </c>
      <c r="E122" s="243"/>
      <c r="F122" s="243"/>
      <c r="G122" s="243"/>
      <c r="H122" s="370"/>
      <c r="I122" s="326"/>
      <c r="J122" s="1485"/>
      <c r="K122" s="1502"/>
      <c r="L122" s="1501" t="str">
        <f>IF(N(K122)&lt;&gt;ROUNDDOWN(N(K122),0),1,"")</f>
        <v/>
      </c>
      <c r="M122" s="1503"/>
      <c r="N122" s="1503" t="str">
        <f>IF(H122+K122=0,"",H122+K122)</f>
        <v/>
      </c>
      <c r="O122" s="253"/>
      <c r="P122" s="253"/>
      <c r="Q122" s="2073" t="s">
        <v>849</v>
      </c>
      <c r="R122" s="2073"/>
      <c r="S122" s="2073"/>
      <c r="T122" s="2073"/>
      <c r="U122" s="2073"/>
      <c r="V122" s="2073"/>
      <c r="W122" s="2073"/>
      <c r="X122" s="2073"/>
      <c r="Y122" s="2073"/>
      <c r="Z122" s="2073"/>
      <c r="AA122" s="1644"/>
      <c r="AB122" s="1644"/>
      <c r="AC122" s="1644"/>
    </row>
    <row r="123" spans="4:29" ht="12.45" customHeight="1">
      <c r="D123" s="335"/>
      <c r="H123" s="330"/>
      <c r="I123" s="326"/>
      <c r="J123" s="979"/>
      <c r="K123" s="1500"/>
      <c r="L123" s="1501"/>
      <c r="M123" s="1501"/>
      <c r="N123" s="1501"/>
      <c r="O123" s="253"/>
      <c r="P123" s="253"/>
      <c r="Q123" s="2073"/>
      <c r="R123" s="2073"/>
      <c r="S123" s="2073"/>
      <c r="T123" s="2073"/>
      <c r="U123" s="2073"/>
      <c r="V123" s="2073"/>
      <c r="W123" s="2073"/>
      <c r="X123" s="2073"/>
      <c r="Y123" s="2073"/>
      <c r="Z123" s="2073"/>
      <c r="AA123" s="1644"/>
      <c r="AB123" s="1644"/>
      <c r="AC123" s="1644"/>
    </row>
    <row r="124" spans="4:29" ht="12.75" customHeight="1">
      <c r="D124" s="277" t="s">
        <v>624</v>
      </c>
      <c r="E124" s="243"/>
      <c r="F124" s="243"/>
      <c r="G124" s="243"/>
      <c r="H124" s="332"/>
      <c r="I124" s="326"/>
      <c r="J124" s="1485"/>
      <c r="K124" s="1502"/>
      <c r="L124" s="1501" t="str">
        <f>IF(N(K124)&lt;&gt;ROUNDDOWN(N(K124),0),1,"")</f>
        <v/>
      </c>
      <c r="M124" s="1503"/>
      <c r="N124" s="1503" t="str">
        <f>IF(H124+K124=0,"",H124+K124)</f>
        <v/>
      </c>
      <c r="O124" s="253"/>
      <c r="P124" s="253"/>
      <c r="Q124" s="2174" t="s">
        <v>848</v>
      </c>
      <c r="R124" s="2174"/>
      <c r="S124" s="2174"/>
      <c r="T124" s="2174"/>
      <c r="U124" s="2174"/>
      <c r="V124" s="2174"/>
      <c r="W124" s="2174"/>
      <c r="X124" s="2174"/>
      <c r="Y124" s="2174"/>
      <c r="Z124" s="2174"/>
      <c r="AA124" s="2174"/>
      <c r="AB124" s="2174"/>
      <c r="AC124" s="2174"/>
    </row>
    <row r="125" spans="4:29" ht="12.45" customHeight="1">
      <c r="D125" s="335"/>
      <c r="H125" s="330"/>
      <c r="I125" s="326"/>
      <c r="J125" s="979"/>
      <c r="K125" s="1500"/>
      <c r="L125" s="1501"/>
      <c r="M125" s="1501"/>
      <c r="N125" s="1501"/>
      <c r="O125" s="253"/>
      <c r="P125" s="253"/>
      <c r="Q125" s="2174"/>
      <c r="R125" s="2174"/>
      <c r="S125" s="2174"/>
      <c r="T125" s="2174"/>
      <c r="U125" s="2174"/>
      <c r="V125" s="2174"/>
      <c r="W125" s="2174"/>
      <c r="X125" s="2174"/>
      <c r="Y125" s="2174"/>
      <c r="Z125" s="2174"/>
      <c r="AA125" s="2174"/>
      <c r="AB125" s="2174"/>
      <c r="AC125" s="2174"/>
    </row>
    <row r="126" spans="4:29">
      <c r="D126" s="277" t="s">
        <v>625</v>
      </c>
      <c r="E126" s="243"/>
      <c r="F126" s="243"/>
      <c r="G126" s="243"/>
      <c r="H126" s="370"/>
      <c r="I126" s="979"/>
      <c r="J126" s="1485"/>
      <c r="K126" s="1502"/>
      <c r="L126" s="1501" t="str">
        <f>IF(N(K126)&lt;&gt;ROUNDDOWN(N(K126),0),1,"")</f>
        <v/>
      </c>
      <c r="M126" s="1503"/>
      <c r="N126" s="1503" t="str">
        <f>IF(H126+K126=0,"",H126+K126)</f>
        <v/>
      </c>
      <c r="O126" s="253"/>
      <c r="P126" s="253"/>
      <c r="Q126" s="2073" t="s">
        <v>847</v>
      </c>
      <c r="R126" s="2073"/>
      <c r="S126" s="2073"/>
      <c r="T126" s="2073"/>
      <c r="U126" s="2073"/>
      <c r="V126" s="2073"/>
      <c r="W126" s="2073"/>
      <c r="X126" s="2073"/>
      <c r="Y126" s="2073"/>
      <c r="Z126" s="2073"/>
      <c r="AA126" s="1645"/>
      <c r="AB126" s="1645"/>
      <c r="AC126" s="1645"/>
    </row>
    <row r="127" spans="4:29" ht="12.45" customHeight="1">
      <c r="D127" s="335"/>
      <c r="H127" s="981"/>
      <c r="I127" s="979"/>
      <c r="J127" s="979"/>
      <c r="K127" s="1500"/>
      <c r="L127" s="1501"/>
      <c r="M127" s="1501"/>
      <c r="N127" s="1501"/>
      <c r="O127" s="253"/>
      <c r="P127" s="253"/>
      <c r="Q127" s="2073"/>
      <c r="R127" s="2073"/>
      <c r="S127" s="2073"/>
      <c r="T127" s="2073"/>
      <c r="U127" s="2073"/>
      <c r="V127" s="2073"/>
      <c r="W127" s="2073"/>
      <c r="X127" s="2073"/>
      <c r="Y127" s="2073"/>
      <c r="Z127" s="2073"/>
      <c r="AA127" s="1644"/>
      <c r="AB127" s="1644"/>
      <c r="AC127" s="1644"/>
    </row>
    <row r="128" spans="4:29">
      <c r="D128" s="335" t="s">
        <v>626</v>
      </c>
      <c r="H128" s="370"/>
      <c r="I128" s="979"/>
      <c r="J128" s="1485"/>
      <c r="K128" s="1502"/>
      <c r="L128" s="1501" t="str">
        <f>IF(N(K128)&lt;&gt;ROUNDDOWN(N(K128),0),1,"")</f>
        <v/>
      </c>
      <c r="M128" s="1503"/>
      <c r="N128" s="1503" t="str">
        <f>IF(H128+K128=0,"",H128+K128)</f>
        <v/>
      </c>
      <c r="O128" s="253"/>
      <c r="P128" s="253"/>
      <c r="Q128" s="2175" t="s">
        <v>846</v>
      </c>
      <c r="R128" s="2175"/>
      <c r="S128" s="2175"/>
      <c r="T128" s="2175"/>
      <c r="U128" s="2175"/>
      <c r="V128" s="2175"/>
      <c r="W128" s="2175"/>
      <c r="X128" s="2175"/>
      <c r="Y128" s="2175"/>
      <c r="Z128" s="2175"/>
      <c r="AA128" s="346"/>
      <c r="AB128" s="346"/>
      <c r="AC128" s="346"/>
    </row>
    <row r="129" spans="1:29" ht="12.45" customHeight="1">
      <c r="D129" s="335"/>
      <c r="H129" s="981"/>
      <c r="I129" s="979"/>
      <c r="J129" s="979"/>
      <c r="K129" s="1500"/>
      <c r="L129" s="1501"/>
      <c r="M129" s="1501"/>
      <c r="N129" s="1501"/>
      <c r="O129" s="253"/>
      <c r="P129" s="253"/>
      <c r="Q129" s="2176"/>
      <c r="R129" s="2176"/>
      <c r="S129" s="2176"/>
      <c r="T129" s="2176"/>
      <c r="U129" s="2176"/>
      <c r="V129" s="2176"/>
      <c r="W129" s="2176"/>
      <c r="X129" s="2176"/>
      <c r="Y129" s="2176"/>
      <c r="Z129" s="2176"/>
      <c r="AA129" s="346"/>
      <c r="AB129" s="346"/>
      <c r="AC129" s="346"/>
    </row>
    <row r="130" spans="1:29">
      <c r="D130" s="277" t="s">
        <v>627</v>
      </c>
      <c r="E130" s="243"/>
      <c r="F130" s="243"/>
      <c r="G130" s="243"/>
      <c r="H130" s="370"/>
      <c r="I130" s="979"/>
      <c r="J130" s="1485"/>
      <c r="K130" s="1502"/>
      <c r="L130" s="1501" t="str">
        <f>IF(N(K130)&lt;&gt;ROUNDDOWN(N(K130),0),1,"")</f>
        <v/>
      </c>
      <c r="M130" s="1503"/>
      <c r="N130" s="1503" t="str">
        <f>IF(H130+K130=0,"",H130+K130)</f>
        <v/>
      </c>
      <c r="O130" s="253"/>
      <c r="P130" s="253"/>
      <c r="Q130" s="2073" t="s">
        <v>845</v>
      </c>
      <c r="R130" s="2073"/>
      <c r="S130" s="2073"/>
      <c r="T130" s="2073"/>
      <c r="U130" s="2073"/>
      <c r="V130" s="2073"/>
      <c r="W130" s="2073"/>
      <c r="X130" s="2073"/>
      <c r="Y130" s="2073"/>
      <c r="Z130" s="2073"/>
      <c r="AA130" s="346"/>
      <c r="AB130" s="346"/>
      <c r="AC130" s="346"/>
    </row>
    <row r="131" spans="1:29" ht="12.45" customHeight="1">
      <c r="D131" s="335"/>
      <c r="H131" s="981"/>
      <c r="I131" s="979"/>
      <c r="J131" s="979"/>
      <c r="K131" s="1500"/>
      <c r="L131" s="1501"/>
      <c r="M131" s="1501"/>
      <c r="N131" s="1501"/>
      <c r="O131" s="253"/>
      <c r="P131" s="253"/>
      <c r="Q131" s="2073"/>
      <c r="R131" s="2073"/>
      <c r="S131" s="2073"/>
      <c r="T131" s="2073"/>
      <c r="U131" s="2073"/>
      <c r="V131" s="2073"/>
      <c r="W131" s="2073"/>
      <c r="X131" s="2073"/>
      <c r="Y131" s="2073"/>
      <c r="Z131" s="2073"/>
      <c r="AA131" s="346"/>
      <c r="AB131" s="346"/>
      <c r="AC131" s="346"/>
    </row>
    <row r="132" spans="1:29">
      <c r="D132" s="277" t="s">
        <v>628</v>
      </c>
      <c r="E132" s="243"/>
      <c r="F132" s="243"/>
      <c r="G132" s="243"/>
      <c r="H132" s="370"/>
      <c r="I132" s="979"/>
      <c r="J132" s="1485"/>
      <c r="K132" s="1502"/>
      <c r="L132" s="1501" t="str">
        <f>IF(N(K132)&lt;&gt;ROUNDDOWN(N(K132),0),1,"")</f>
        <v/>
      </c>
      <c r="M132" s="1503"/>
      <c r="N132" s="1503" t="str">
        <f>IF(H132+K132=0,"",H132+K132)</f>
        <v/>
      </c>
      <c r="O132" s="253"/>
      <c r="P132" s="253"/>
      <c r="Q132" s="346"/>
      <c r="R132" s="346"/>
      <c r="S132" s="346"/>
      <c r="T132" s="346"/>
      <c r="U132" s="346"/>
      <c r="V132" s="346"/>
      <c r="W132" s="346"/>
      <c r="X132" s="346"/>
      <c r="Y132" s="346"/>
      <c r="Z132" s="346"/>
      <c r="AA132" s="346"/>
      <c r="AB132" s="346"/>
      <c r="AC132" s="346"/>
    </row>
    <row r="133" spans="1:29" ht="12.45" customHeight="1">
      <c r="D133" s="335"/>
      <c r="H133" s="981"/>
      <c r="I133" s="979"/>
      <c r="J133" s="979"/>
      <c r="K133" s="1500"/>
      <c r="L133" s="1501"/>
      <c r="M133" s="1501"/>
      <c r="N133" s="1501"/>
      <c r="O133" s="253"/>
      <c r="P133" s="253"/>
      <c r="Q133" s="346"/>
      <c r="R133" s="346"/>
      <c r="S133" s="346"/>
      <c r="T133" s="346"/>
      <c r="U133" s="346"/>
      <c r="V133" s="346"/>
      <c r="W133" s="346"/>
      <c r="X133" s="346"/>
      <c r="Y133" s="346"/>
      <c r="Z133" s="346"/>
      <c r="AA133" s="346"/>
      <c r="AB133" s="346"/>
      <c r="AC133" s="346"/>
    </row>
    <row r="134" spans="1:29" ht="12.75" customHeight="1">
      <c r="D134" s="328" t="s">
        <v>596</v>
      </c>
      <c r="E134" s="243"/>
      <c r="F134" s="243"/>
      <c r="G134" s="243"/>
      <c r="H134" s="370"/>
      <c r="I134" s="979"/>
      <c r="J134" s="1485"/>
      <c r="K134" s="1502"/>
      <c r="L134" s="1501" t="str">
        <f>IF(N(K134)&lt;&gt;ROUNDDOWN(N(K134),0),1,"")</f>
        <v/>
      </c>
      <c r="M134" s="1503"/>
      <c r="N134" s="1503" t="str">
        <f>IF(H134+K134=0,"",H134+K134)</f>
        <v/>
      </c>
      <c r="O134" s="253"/>
      <c r="P134" s="253"/>
      <c r="Q134" s="2073" t="s">
        <v>844</v>
      </c>
      <c r="R134" s="2073"/>
      <c r="S134" s="2073"/>
      <c r="T134" s="2073"/>
      <c r="U134" s="2073"/>
      <c r="V134" s="2073"/>
      <c r="W134" s="2073"/>
      <c r="X134" s="2073"/>
      <c r="Y134" s="2073"/>
      <c r="Z134" s="2073"/>
      <c r="AA134" s="346"/>
      <c r="AB134" s="346"/>
      <c r="AC134" s="346"/>
    </row>
    <row r="135" spans="1:29" ht="12.45" customHeight="1">
      <c r="H135" s="981"/>
      <c r="I135" s="979"/>
      <c r="J135" s="979"/>
      <c r="K135" s="1500"/>
      <c r="L135" s="1501"/>
      <c r="M135" s="1501"/>
      <c r="N135" s="1501"/>
      <c r="O135" s="253"/>
      <c r="P135" s="253"/>
      <c r="Q135" s="2073"/>
      <c r="R135" s="2073"/>
      <c r="S135" s="2073"/>
      <c r="T135" s="2073"/>
      <c r="U135" s="2073"/>
      <c r="V135" s="2073"/>
      <c r="W135" s="2073"/>
      <c r="X135" s="2073"/>
      <c r="Y135" s="2073"/>
      <c r="Z135" s="2073"/>
      <c r="AA135" s="346"/>
      <c r="AB135" s="346"/>
      <c r="AC135" s="346"/>
    </row>
    <row r="136" spans="1:29">
      <c r="B136" s="329" t="s">
        <v>629</v>
      </c>
      <c r="C136" s="344" t="s">
        <v>630</v>
      </c>
      <c r="D136" s="243"/>
      <c r="E136" s="243"/>
      <c r="F136" s="243"/>
      <c r="H136" s="980"/>
      <c r="I136" s="980"/>
      <c r="J136" s="979"/>
      <c r="K136" s="1500"/>
      <c r="L136" s="1501"/>
      <c r="M136" s="1501"/>
      <c r="N136" s="1501"/>
      <c r="O136" s="253"/>
      <c r="P136" s="253"/>
      <c r="Q136" s="346"/>
      <c r="R136" s="346"/>
      <c r="S136" s="346"/>
      <c r="T136" s="346"/>
      <c r="U136" s="346"/>
      <c r="V136" s="346"/>
      <c r="W136" s="346"/>
      <c r="X136" s="346"/>
      <c r="Y136" s="346"/>
      <c r="Z136" s="346"/>
      <c r="AA136" s="346"/>
      <c r="AB136" s="346"/>
      <c r="AC136" s="346"/>
    </row>
    <row r="137" spans="1:29">
      <c r="D137" s="344" t="s">
        <v>631</v>
      </c>
      <c r="G137" s="327" t="s">
        <v>599</v>
      </c>
      <c r="H137" s="976" t="str">
        <f>IF(SUM(H81:H134)=0,"",SUM(H81:H134))</f>
        <v/>
      </c>
      <c r="I137" s="979"/>
      <c r="J137" s="1488" t="s">
        <v>599</v>
      </c>
      <c r="K137" s="1504" t="str">
        <f>IF(SUM(K81:K134)=0,"",SUM(K81:K134))</f>
        <v/>
      </c>
      <c r="L137" s="1501"/>
      <c r="M137" s="1505" t="s">
        <v>599</v>
      </c>
      <c r="N137" s="1503" t="str">
        <f>IF(N(H137)+N(K137)=0,"",N(H137)+N(K137))</f>
        <v/>
      </c>
      <c r="O137" s="253"/>
      <c r="P137" s="253"/>
      <c r="Q137" s="346"/>
      <c r="R137" s="346"/>
      <c r="S137" s="346"/>
      <c r="T137" s="346"/>
      <c r="U137" s="346"/>
      <c r="V137" s="346"/>
      <c r="W137" s="346"/>
      <c r="X137" s="346"/>
      <c r="Y137" s="346"/>
      <c r="Z137" s="346"/>
      <c r="AA137" s="346"/>
      <c r="AB137" s="346"/>
      <c r="AC137" s="346"/>
    </row>
    <row r="138" spans="1:29" ht="12.45" customHeight="1">
      <c r="H138" s="282"/>
      <c r="I138" s="326"/>
      <c r="J138" s="979"/>
      <c r="K138" s="1500"/>
      <c r="L138" s="1506"/>
      <c r="M138" s="1506"/>
      <c r="N138" s="1506"/>
      <c r="O138" s="253"/>
      <c r="P138" s="253"/>
      <c r="Q138" s="1641"/>
      <c r="R138" s="1641"/>
      <c r="S138" s="1641"/>
      <c r="T138" s="346"/>
      <c r="U138" s="346"/>
      <c r="V138" s="346"/>
      <c r="W138" s="346"/>
      <c r="X138" s="346"/>
      <c r="Y138" s="346"/>
      <c r="Z138" s="346"/>
      <c r="AA138" s="346"/>
      <c r="AB138" s="346"/>
      <c r="AC138" s="346"/>
    </row>
    <row r="139" spans="1:29" ht="12.75" customHeight="1">
      <c r="B139" s="334" t="s">
        <v>632</v>
      </c>
      <c r="C139" s="333" t="s">
        <v>783</v>
      </c>
      <c r="G139" s="327" t="s">
        <v>599</v>
      </c>
      <c r="H139" s="332"/>
      <c r="I139" s="326"/>
      <c r="J139" s="1488"/>
      <c r="K139" s="1502"/>
      <c r="L139" s="1501" t="str">
        <f>IF(N(K139)&lt;&gt;ROUNDDOWN(N(K139),0),1,"")</f>
        <v/>
      </c>
      <c r="M139" s="1508" t="s">
        <v>599</v>
      </c>
      <c r="N139" s="1503" t="str">
        <f>IF(H139+K139=0,"",H139+K139)</f>
        <v/>
      </c>
      <c r="O139" s="253"/>
      <c r="P139" s="255" t="str">
        <f>IF($P$140="No","**","")</f>
        <v/>
      </c>
      <c r="Q139" s="2069" t="str">
        <f>IF(P140="No","The amount entered for 'Soft Cost Contingency' is too high by "&amp;TEXT(N(N139)-N(SCC_DollarMax),"$#,##0.00")&amp;".  ","")</f>
        <v/>
      </c>
      <c r="R139" s="2069"/>
      <c r="S139" s="2069"/>
      <c r="T139" s="2069"/>
      <c r="U139" s="2069"/>
      <c r="V139" s="2069"/>
      <c r="W139" s="2069"/>
      <c r="X139" s="2069"/>
      <c r="Y139" s="2069"/>
      <c r="Z139" s="2069"/>
      <c r="AA139" s="346"/>
      <c r="AB139" s="346"/>
      <c r="AC139" s="346"/>
    </row>
    <row r="140" spans="1:29" ht="12.75" customHeight="1">
      <c r="D140" s="2067" t="str">
        <f>"Max SCC @ "&amp;TEXT(DS_MaxSCC,"#0%")&amp;":"</f>
        <v>Max SCC @ 5%:</v>
      </c>
      <c r="E140" s="2067"/>
      <c r="F140" s="1029">
        <f>DS_MaxSCC*N(General_totaldevelopmentcost_total)</f>
        <v>0</v>
      </c>
      <c r="H140" s="330"/>
      <c r="I140" s="326"/>
      <c r="J140" s="979"/>
      <c r="K140" s="1500"/>
      <c r="L140" s="1479"/>
      <c r="M140" s="1479"/>
      <c r="N140" s="1479"/>
      <c r="O140" s="253"/>
      <c r="P140" s="1017" t="str">
        <f>IF(N(Contingency_Soft_total)&lt;=N(SCC_DollarMax),"Yes","No")</f>
        <v>Yes</v>
      </c>
      <c r="Q140" s="1642"/>
      <c r="R140" s="1643"/>
      <c r="S140" s="1643"/>
      <c r="T140" s="1643"/>
      <c r="U140" s="1643"/>
      <c r="V140" s="1643"/>
      <c r="W140" s="1643"/>
      <c r="X140" s="1643"/>
      <c r="Y140" s="1643"/>
      <c r="Z140" s="1643"/>
      <c r="AA140" s="1643"/>
      <c r="AB140" s="346"/>
      <c r="AC140" s="346"/>
    </row>
    <row r="141" spans="1:29" ht="3.75" customHeight="1" thickBot="1">
      <c r="J141" s="1479"/>
      <c r="K141" s="1492"/>
      <c r="L141" s="1479"/>
      <c r="M141" s="1479"/>
      <c r="N141" s="1479"/>
      <c r="O141" s="253"/>
      <c r="P141" s="253"/>
      <c r="Q141" s="1642"/>
      <c r="R141" s="1643"/>
      <c r="S141" s="1643"/>
      <c r="T141" s="1643"/>
      <c r="U141" s="1643"/>
      <c r="V141" s="1643"/>
      <c r="W141" s="1643"/>
      <c r="X141" s="1643"/>
      <c r="Y141" s="1643"/>
      <c r="Z141" s="1643"/>
      <c r="AA141" s="1643"/>
      <c r="AB141" s="346"/>
      <c r="AC141" s="346"/>
    </row>
    <row r="142" spans="1:29" ht="3.75" customHeight="1">
      <c r="A142" s="254"/>
      <c r="B142" s="254"/>
      <c r="C142" s="254"/>
      <c r="D142" s="254"/>
      <c r="E142" s="254"/>
      <c r="F142" s="254"/>
      <c r="G142" s="254"/>
      <c r="H142" s="254"/>
      <c r="I142" s="254"/>
      <c r="J142" s="1490"/>
      <c r="K142" s="1491"/>
      <c r="L142" s="1490"/>
      <c r="M142" s="1490"/>
      <c r="N142" s="1490"/>
      <c r="O142" s="308"/>
      <c r="P142" s="308"/>
      <c r="Q142" s="1643"/>
      <c r="R142" s="1643"/>
      <c r="S142" s="1643"/>
      <c r="T142" s="1643"/>
      <c r="U142" s="1643"/>
      <c r="V142" s="1643"/>
      <c r="W142" s="1643"/>
      <c r="X142" s="1643"/>
      <c r="Y142" s="1643"/>
      <c r="Z142" s="1643"/>
      <c r="AA142" s="1643"/>
      <c r="AB142" s="346"/>
      <c r="AC142" s="346"/>
    </row>
    <row r="143" spans="1:29">
      <c r="B143" s="250" t="str">
        <f>B$2</f>
        <v>RFA 2022-109 DEVELOPMENT COST PRO FORMA</v>
      </c>
      <c r="H143" s="243"/>
      <c r="I143" s="243"/>
      <c r="J143" s="1479"/>
      <c r="K143" s="1492"/>
      <c r="L143" s="1479"/>
      <c r="M143" s="1479"/>
      <c r="N143" s="1479"/>
      <c r="O143" s="253"/>
      <c r="P143" s="252" t="str">
        <f>IF($Q$417=1,"(Page 3 of 8)","(Page 3 of 7)")</f>
        <v>(Page 3 of 7)</v>
      </c>
      <c r="Q143" s="1643"/>
      <c r="R143" s="1643"/>
      <c r="S143" s="1643"/>
      <c r="T143" s="1643"/>
      <c r="U143" s="1643"/>
      <c r="V143" s="1643"/>
      <c r="W143" s="1643"/>
      <c r="X143" s="1643"/>
      <c r="Y143" s="1643"/>
      <c r="Z143" s="1643"/>
      <c r="AA143" s="1643"/>
      <c r="AB143" s="346"/>
      <c r="AC143" s="346"/>
    </row>
    <row r="144" spans="1:29">
      <c r="H144" s="345"/>
      <c r="I144" s="243"/>
      <c r="J144" s="1479"/>
      <c r="K144" s="1493"/>
      <c r="L144" s="1479"/>
      <c r="M144" s="1481"/>
      <c r="N144" s="1480"/>
      <c r="O144" s="253"/>
      <c r="P144" s="253"/>
      <c r="Q144" s="346"/>
      <c r="R144" s="346"/>
      <c r="S144" s="346"/>
      <c r="T144" s="346"/>
      <c r="U144" s="346"/>
      <c r="V144" s="346"/>
      <c r="W144" s="346"/>
      <c r="X144" s="346"/>
      <c r="Y144" s="346"/>
      <c r="Z144" s="346"/>
      <c r="AA144" s="346"/>
      <c r="AB144" s="346"/>
      <c r="AC144" s="346"/>
    </row>
    <row r="145" spans="3:29" ht="18" customHeight="1">
      <c r="H145" s="349" t="str">
        <f>H42</f>
        <v>TOTAL COSTS</v>
      </c>
      <c r="I145" s="369"/>
      <c r="J145" s="1483"/>
      <c r="K145" s="1494" t="str">
        <f>K42</f>
        <v>HC INELIGIBLE
COSTS</v>
      </c>
      <c r="L145" s="1495"/>
      <c r="M145" s="1496"/>
      <c r="N145" s="1495" t="str">
        <f>N42</f>
        <v>TOTAL
COSTS</v>
      </c>
      <c r="O145" s="253"/>
      <c r="P145" s="253"/>
      <c r="Q145" s="346"/>
      <c r="R145" s="346"/>
      <c r="S145" s="346"/>
      <c r="T145" s="346"/>
      <c r="U145" s="346"/>
      <c r="V145" s="346"/>
      <c r="W145" s="346"/>
      <c r="X145" s="346"/>
      <c r="Y145" s="346"/>
      <c r="Z145" s="346"/>
      <c r="AA145" s="346"/>
      <c r="AB145" s="346"/>
      <c r="AC145" s="346"/>
    </row>
    <row r="146" spans="3:29">
      <c r="C146" s="341" t="s">
        <v>633</v>
      </c>
      <c r="J146" s="1479"/>
      <c r="K146" s="1492"/>
      <c r="L146" s="1479"/>
      <c r="M146" s="1479"/>
      <c r="N146" s="1479"/>
      <c r="O146" s="253"/>
      <c r="P146" s="253"/>
      <c r="Q146" s="346"/>
      <c r="R146" s="346"/>
      <c r="S146" s="346"/>
      <c r="T146" s="346"/>
      <c r="U146" s="346"/>
      <c r="V146" s="346"/>
      <c r="W146" s="346"/>
      <c r="X146" s="346"/>
      <c r="Y146" s="346"/>
      <c r="Z146" s="346"/>
      <c r="AA146" s="346"/>
      <c r="AB146" s="346"/>
      <c r="AC146" s="346"/>
    </row>
    <row r="147" spans="3:29">
      <c r="C147" s="341"/>
      <c r="D147" s="335" t="s">
        <v>634</v>
      </c>
      <c r="E147" s="335"/>
      <c r="J147" s="1479"/>
      <c r="K147" s="1492"/>
      <c r="L147" s="1479"/>
      <c r="M147" s="1479"/>
      <c r="N147" s="1479"/>
      <c r="O147" s="253"/>
      <c r="P147" s="253"/>
      <c r="Q147" s="346"/>
      <c r="R147" s="346"/>
      <c r="S147" s="346"/>
      <c r="T147" s="346"/>
      <c r="U147" s="346"/>
      <c r="V147" s="346"/>
      <c r="W147" s="346"/>
      <c r="X147" s="346"/>
      <c r="Y147" s="346"/>
      <c r="Z147" s="346"/>
      <c r="AA147" s="346"/>
      <c r="AB147" s="346"/>
      <c r="AC147" s="346"/>
    </row>
    <row r="148" spans="3:29">
      <c r="C148" s="341"/>
      <c r="D148" s="335"/>
      <c r="E148" s="335" t="s">
        <v>635</v>
      </c>
      <c r="H148" s="332"/>
      <c r="I148" s="326"/>
      <c r="J148" s="1485"/>
      <c r="K148" s="1502"/>
      <c r="L148" s="1501" t="str">
        <f>IF(N(K148)&lt;&gt;ROUNDDOWN(N(K148),0),1,"")</f>
        <v/>
      </c>
      <c r="M148" s="1501"/>
      <c r="N148" s="1503" t="str">
        <f>IF(H148+K148=0,"",H148+K148)</f>
        <v/>
      </c>
      <c r="O148" s="253"/>
      <c r="P148" s="253"/>
      <c r="Q148" s="346"/>
      <c r="R148" s="346"/>
      <c r="S148" s="346"/>
      <c r="T148" s="346"/>
      <c r="U148" s="346"/>
      <c r="V148" s="346"/>
      <c r="W148" s="346"/>
      <c r="X148" s="346"/>
      <c r="Y148" s="346"/>
      <c r="Z148" s="346"/>
      <c r="AA148" s="346"/>
      <c r="AB148" s="346"/>
      <c r="AC148" s="346"/>
    </row>
    <row r="149" spans="3:29" ht="12.45" customHeight="1">
      <c r="C149" s="341"/>
      <c r="D149" s="335"/>
      <c r="E149" s="335"/>
      <c r="H149" s="330"/>
      <c r="I149" s="326"/>
      <c r="J149" s="979"/>
      <c r="K149" s="1500"/>
      <c r="L149" s="1501"/>
      <c r="M149" s="1501"/>
      <c r="N149" s="1501"/>
      <c r="O149" s="253"/>
      <c r="P149" s="253"/>
      <c r="Q149" s="346"/>
      <c r="R149" s="346"/>
      <c r="S149" s="346"/>
      <c r="T149" s="346"/>
      <c r="U149" s="346"/>
      <c r="V149" s="346"/>
      <c r="W149" s="346"/>
      <c r="X149" s="346"/>
      <c r="Y149" s="346"/>
      <c r="Z149" s="346"/>
      <c r="AA149" s="346"/>
      <c r="AB149" s="346"/>
      <c r="AC149" s="346"/>
    </row>
    <row r="150" spans="3:29">
      <c r="D150" s="335" t="s">
        <v>636</v>
      </c>
      <c r="E150" s="335"/>
      <c r="H150" s="282"/>
      <c r="I150" s="282"/>
      <c r="J150" s="979"/>
      <c r="K150" s="1500"/>
      <c r="L150" s="1501"/>
      <c r="M150" s="1501"/>
      <c r="N150" s="1501"/>
      <c r="O150" s="253"/>
      <c r="P150" s="253"/>
      <c r="Q150" s="346"/>
      <c r="R150" s="346"/>
      <c r="S150" s="346"/>
      <c r="T150" s="346"/>
      <c r="U150" s="346"/>
      <c r="V150" s="346"/>
      <c r="W150" s="346"/>
      <c r="X150" s="346"/>
      <c r="Y150" s="346"/>
      <c r="Z150" s="346"/>
      <c r="AA150" s="346"/>
      <c r="AB150" s="346"/>
      <c r="AC150" s="346"/>
    </row>
    <row r="151" spans="3:29">
      <c r="D151" s="335"/>
      <c r="E151" s="335" t="s">
        <v>637</v>
      </c>
      <c r="H151" s="332"/>
      <c r="I151" s="326"/>
      <c r="J151" s="1485"/>
      <c r="K151" s="1502"/>
      <c r="L151" s="1501" t="str">
        <f>IF(N(K151)&lt;&gt;ROUNDDOWN(N(K151),0),1,"")</f>
        <v/>
      </c>
      <c r="M151" s="1501"/>
      <c r="N151" s="1503" t="str">
        <f>IF(H151+K151=0,"",H151+K151)</f>
        <v/>
      </c>
      <c r="O151" s="253"/>
      <c r="P151" s="253"/>
      <c r="Q151" s="346"/>
      <c r="R151" s="346"/>
      <c r="S151" s="346"/>
      <c r="T151" s="346"/>
      <c r="U151" s="346"/>
      <c r="V151" s="346"/>
      <c r="W151" s="346"/>
      <c r="X151" s="346"/>
      <c r="Y151" s="346"/>
      <c r="Z151" s="346"/>
      <c r="AA151" s="346"/>
      <c r="AB151" s="346"/>
      <c r="AC151" s="346"/>
    </row>
    <row r="152" spans="3:29" ht="12.45" customHeight="1">
      <c r="D152" s="335"/>
      <c r="E152" s="335"/>
      <c r="H152" s="330"/>
      <c r="I152" s="326"/>
      <c r="J152" s="979"/>
      <c r="K152" s="1500"/>
      <c r="L152" s="1501"/>
      <c r="M152" s="1501"/>
      <c r="N152" s="1501"/>
      <c r="O152" s="253"/>
      <c r="P152" s="253"/>
      <c r="Q152" s="346"/>
      <c r="R152" s="346"/>
      <c r="S152" s="346"/>
      <c r="T152" s="346"/>
      <c r="U152" s="346"/>
      <c r="V152" s="346"/>
      <c r="W152" s="346"/>
      <c r="X152" s="346"/>
      <c r="Y152" s="346"/>
      <c r="Z152" s="346"/>
      <c r="AA152" s="346"/>
      <c r="AB152" s="346"/>
      <c r="AC152" s="346"/>
    </row>
    <row r="153" spans="3:29">
      <c r="D153" s="335" t="s">
        <v>638</v>
      </c>
      <c r="E153" s="335"/>
      <c r="H153" s="332"/>
      <c r="I153" s="326"/>
      <c r="J153" s="1485"/>
      <c r="K153" s="1502"/>
      <c r="L153" s="1501" t="str">
        <f>IF(N(K153)&lt;&gt;ROUNDDOWN(N(K153),0),1,"")</f>
        <v/>
      </c>
      <c r="M153" s="1501"/>
      <c r="N153" s="1503" t="str">
        <f>IF(H153+K153=0,"",H153+K153)</f>
        <v/>
      </c>
      <c r="O153" s="253"/>
      <c r="P153" s="253"/>
      <c r="Q153" s="346"/>
      <c r="R153" s="346"/>
      <c r="S153" s="346"/>
      <c r="T153" s="346"/>
      <c r="U153" s="346"/>
      <c r="V153" s="346"/>
      <c r="W153" s="346"/>
      <c r="X153" s="346"/>
      <c r="Y153" s="346"/>
      <c r="Z153" s="346"/>
      <c r="AA153" s="346"/>
      <c r="AB153" s="346"/>
      <c r="AC153" s="346"/>
    </row>
    <row r="154" spans="3:29" ht="12.45" customHeight="1">
      <c r="D154" s="335"/>
      <c r="E154" s="335"/>
      <c r="H154" s="330"/>
      <c r="I154" s="326"/>
      <c r="J154" s="979"/>
      <c r="K154" s="1500"/>
      <c r="L154" s="1501"/>
      <c r="M154" s="1501"/>
      <c r="N154" s="1506"/>
      <c r="O154" s="253"/>
      <c r="P154" s="253"/>
      <c r="Q154" s="346"/>
      <c r="R154" s="346"/>
      <c r="S154" s="346"/>
      <c r="T154" s="346"/>
      <c r="U154" s="346"/>
      <c r="V154" s="346"/>
      <c r="W154" s="346"/>
      <c r="X154" s="346"/>
      <c r="Y154" s="346"/>
      <c r="Z154" s="346"/>
      <c r="AA154" s="346"/>
      <c r="AB154" s="346"/>
      <c r="AC154" s="346"/>
    </row>
    <row r="155" spans="3:29">
      <c r="D155" s="335" t="s">
        <v>639</v>
      </c>
      <c r="E155" s="335"/>
      <c r="H155" s="282"/>
      <c r="I155" s="282"/>
      <c r="J155" s="979"/>
      <c r="K155" s="1500"/>
      <c r="L155" s="1501"/>
      <c r="M155" s="1501"/>
      <c r="N155" s="1501"/>
      <c r="O155" s="253"/>
      <c r="P155" s="253"/>
      <c r="Q155" s="346"/>
      <c r="R155" s="346"/>
      <c r="S155" s="346"/>
      <c r="T155" s="346"/>
      <c r="U155" s="346"/>
      <c r="V155" s="346"/>
      <c r="W155" s="346"/>
      <c r="X155" s="346"/>
      <c r="Y155" s="346"/>
      <c r="Z155" s="346"/>
      <c r="AA155" s="346"/>
      <c r="AB155" s="346"/>
      <c r="AC155" s="346"/>
    </row>
    <row r="156" spans="3:29" ht="12.75" customHeight="1">
      <c r="D156" s="335"/>
      <c r="E156" s="335" t="s">
        <v>640</v>
      </c>
      <c r="H156" s="332"/>
      <c r="I156" s="326"/>
      <c r="J156" s="1485"/>
      <c r="K156" s="1502"/>
      <c r="L156" s="1501" t="str">
        <f>IF(N(K156)&lt;&gt;ROUNDDOWN(N(K156),0),1,"")</f>
        <v/>
      </c>
      <c r="M156" s="1501"/>
      <c r="N156" s="1503" t="str">
        <f>IF(H156+K156=0,"",H156+K156)</f>
        <v/>
      </c>
      <c r="O156" s="253"/>
      <c r="P156" s="1090"/>
      <c r="Q156" s="2072" t="s">
        <v>843</v>
      </c>
      <c r="R156" s="2072"/>
      <c r="S156" s="2072"/>
      <c r="T156" s="2072"/>
      <c r="U156" s="2072"/>
      <c r="V156" s="2072"/>
      <c r="W156" s="2072"/>
      <c r="X156" s="2072"/>
      <c r="Y156" s="2072"/>
      <c r="Z156" s="2072"/>
      <c r="AA156" s="346"/>
      <c r="AB156" s="346"/>
      <c r="AC156" s="346"/>
    </row>
    <row r="157" spans="3:29" ht="12.45" customHeight="1">
      <c r="D157" s="335"/>
      <c r="E157" s="335"/>
      <c r="H157" s="330"/>
      <c r="I157" s="326"/>
      <c r="J157" s="979"/>
      <c r="K157" s="1500"/>
      <c r="L157" s="1501"/>
      <c r="M157" s="1501"/>
      <c r="N157" s="1506"/>
      <c r="O157" s="253"/>
      <c r="P157" s="1090"/>
      <c r="Q157" s="2072"/>
      <c r="R157" s="2072"/>
      <c r="S157" s="2072"/>
      <c r="T157" s="2072"/>
      <c r="U157" s="2072"/>
      <c r="V157" s="2072"/>
      <c r="W157" s="2072"/>
      <c r="X157" s="2072"/>
      <c r="Y157" s="2072"/>
      <c r="Z157" s="2072"/>
      <c r="AA157" s="346"/>
      <c r="AB157" s="346"/>
      <c r="AC157" s="346"/>
    </row>
    <row r="158" spans="3:29">
      <c r="D158" s="335" t="s">
        <v>641</v>
      </c>
      <c r="E158" s="335"/>
      <c r="H158" s="282"/>
      <c r="I158" s="282"/>
      <c r="J158" s="979"/>
      <c r="K158" s="1500"/>
      <c r="L158" s="1501"/>
      <c r="M158" s="1501"/>
      <c r="N158" s="1501"/>
      <c r="O158" s="253"/>
      <c r="P158" s="1090"/>
      <c r="Q158" s="2072" t="s">
        <v>842</v>
      </c>
      <c r="R158" s="2072"/>
      <c r="S158" s="2072"/>
      <c r="T158" s="2072"/>
      <c r="U158" s="2072"/>
      <c r="V158" s="2072"/>
      <c r="W158" s="2072"/>
      <c r="X158" s="2072"/>
      <c r="Y158" s="2072"/>
      <c r="Z158" s="2072"/>
      <c r="AA158" s="346"/>
      <c r="AB158" s="346"/>
      <c r="AC158" s="346"/>
    </row>
    <row r="159" spans="3:29">
      <c r="D159" s="335"/>
      <c r="E159" s="335" t="s">
        <v>635</v>
      </c>
      <c r="H159" s="888"/>
      <c r="I159" s="326"/>
      <c r="J159" s="1485"/>
      <c r="K159" s="1502"/>
      <c r="L159" s="1501" t="str">
        <f>IF(N(K159)&lt;&gt;ROUNDDOWN(N(K159),0),1,"")</f>
        <v/>
      </c>
      <c r="M159" s="1501"/>
      <c r="N159" s="1503" t="str">
        <f>IF(H159+K159=0,"",H159+K159)</f>
        <v/>
      </c>
      <c r="O159" s="253"/>
      <c r="P159" s="1090"/>
      <c r="Q159" s="2072"/>
      <c r="R159" s="2072"/>
      <c r="S159" s="2072"/>
      <c r="T159" s="2072"/>
      <c r="U159" s="2072"/>
      <c r="V159" s="2072"/>
      <c r="W159" s="2072"/>
      <c r="X159" s="2072"/>
      <c r="Y159" s="2072"/>
      <c r="Z159" s="2072"/>
      <c r="AA159" s="346"/>
      <c r="AB159" s="346"/>
      <c r="AC159" s="346"/>
    </row>
    <row r="160" spans="3:29" ht="12.45" customHeight="1">
      <c r="D160" s="335"/>
      <c r="E160" s="335"/>
      <c r="H160" s="282"/>
      <c r="I160" s="326"/>
      <c r="J160" s="979"/>
      <c r="K160" s="1500"/>
      <c r="L160" s="1501"/>
      <c r="M160" s="1501"/>
      <c r="N160" s="1501"/>
      <c r="O160" s="253"/>
      <c r="P160" s="253"/>
      <c r="Q160" s="346"/>
      <c r="R160" s="346"/>
      <c r="S160" s="346"/>
      <c r="T160" s="346"/>
      <c r="U160" s="346"/>
      <c r="V160" s="346"/>
      <c r="W160" s="346"/>
      <c r="X160" s="346"/>
      <c r="Y160" s="346"/>
      <c r="Z160" s="346"/>
      <c r="AA160" s="346"/>
      <c r="AB160" s="346"/>
      <c r="AC160" s="346"/>
    </row>
    <row r="161" spans="2:29">
      <c r="D161" s="335" t="s">
        <v>642</v>
      </c>
      <c r="E161" s="335"/>
      <c r="H161" s="282"/>
      <c r="I161" s="282"/>
      <c r="J161" s="979"/>
      <c r="K161" s="1500"/>
      <c r="L161" s="1501"/>
      <c r="M161" s="1501"/>
      <c r="N161" s="1501"/>
      <c r="O161" s="253"/>
      <c r="P161" s="253"/>
      <c r="Q161" s="346"/>
      <c r="R161" s="346"/>
      <c r="S161" s="346"/>
      <c r="T161" s="346"/>
      <c r="U161" s="346"/>
      <c r="V161" s="346"/>
      <c r="W161" s="346"/>
      <c r="X161" s="346"/>
      <c r="Y161" s="346"/>
      <c r="Z161" s="346"/>
      <c r="AA161" s="346"/>
      <c r="AB161" s="346"/>
      <c r="AC161" s="346"/>
    </row>
    <row r="162" spans="2:29">
      <c r="D162" s="335"/>
      <c r="E162" s="335" t="s">
        <v>637</v>
      </c>
      <c r="H162" s="888"/>
      <c r="I162" s="326"/>
      <c r="J162" s="1485"/>
      <c r="K162" s="1502"/>
      <c r="L162" s="1501" t="str">
        <f>IF(N(K162)&lt;&gt;ROUNDDOWN(N(K162),0),1,"")</f>
        <v/>
      </c>
      <c r="M162" s="1501"/>
      <c r="N162" s="1503" t="str">
        <f>IF(H162+K162=0,"",H162+K162)</f>
        <v/>
      </c>
      <c r="O162" s="253"/>
      <c r="P162" s="253"/>
      <c r="Q162" s="346"/>
      <c r="R162" s="346"/>
      <c r="S162" s="346"/>
      <c r="T162" s="346"/>
      <c r="U162" s="346"/>
      <c r="V162" s="346"/>
      <c r="W162" s="346"/>
      <c r="X162" s="346"/>
      <c r="Y162" s="346"/>
      <c r="Z162" s="346"/>
      <c r="AA162" s="346"/>
      <c r="AB162" s="346"/>
      <c r="AC162" s="346"/>
    </row>
    <row r="163" spans="2:29" ht="12.45" customHeight="1">
      <c r="D163" s="335"/>
      <c r="E163" s="335"/>
      <c r="H163" s="282"/>
      <c r="I163" s="326"/>
      <c r="J163" s="979"/>
      <c r="K163" s="1500"/>
      <c r="L163" s="1501"/>
      <c r="M163" s="1501"/>
      <c r="N163" s="1501"/>
      <c r="O163" s="253"/>
      <c r="P163" s="253"/>
      <c r="Q163" s="346"/>
      <c r="R163" s="346"/>
      <c r="S163" s="346"/>
      <c r="T163" s="346"/>
      <c r="U163" s="346"/>
      <c r="V163" s="346"/>
      <c r="W163" s="346"/>
      <c r="X163" s="346"/>
      <c r="Y163" s="346"/>
      <c r="Z163" s="346"/>
      <c r="AA163" s="346"/>
      <c r="AB163" s="346"/>
      <c r="AC163" s="346"/>
    </row>
    <row r="164" spans="2:29">
      <c r="D164" s="335" t="s">
        <v>643</v>
      </c>
      <c r="E164" s="335"/>
      <c r="H164" s="888"/>
      <c r="I164" s="326"/>
      <c r="J164" s="1485"/>
      <c r="K164" s="1502"/>
      <c r="L164" s="1501" t="str">
        <f>IF(N(K164)&lt;&gt;ROUNDDOWN(N(K164),0),1,"")</f>
        <v/>
      </c>
      <c r="M164" s="1501"/>
      <c r="N164" s="1503" t="str">
        <f>IF(H164+K164=0,"",H164+K164)</f>
        <v/>
      </c>
      <c r="O164" s="253"/>
      <c r="P164" s="253"/>
      <c r="Q164" s="2072" t="s">
        <v>842</v>
      </c>
      <c r="R164" s="2072"/>
      <c r="S164" s="2072"/>
      <c r="T164" s="2072"/>
      <c r="U164" s="2072"/>
      <c r="V164" s="2072"/>
      <c r="W164" s="2072"/>
      <c r="X164" s="2072"/>
      <c r="Y164" s="2072"/>
      <c r="Z164" s="2072"/>
      <c r="AA164" s="346"/>
      <c r="AB164" s="346"/>
      <c r="AC164" s="346"/>
    </row>
    <row r="165" spans="2:29" ht="12.45" customHeight="1">
      <c r="D165" s="335"/>
      <c r="E165" s="335"/>
      <c r="H165" s="282"/>
      <c r="I165" s="326"/>
      <c r="J165" s="979"/>
      <c r="K165" s="1500"/>
      <c r="L165" s="1501"/>
      <c r="M165" s="1501"/>
      <c r="N165" s="1501"/>
      <c r="O165" s="253"/>
      <c r="P165" s="253"/>
      <c r="Q165" s="2072"/>
      <c r="R165" s="2072"/>
      <c r="S165" s="2072"/>
      <c r="T165" s="2072"/>
      <c r="U165" s="2072"/>
      <c r="V165" s="2072"/>
      <c r="W165" s="2072"/>
      <c r="X165" s="2072"/>
      <c r="Y165" s="2072"/>
      <c r="Z165" s="2072"/>
      <c r="AA165" s="346"/>
      <c r="AB165" s="346"/>
      <c r="AC165" s="346"/>
    </row>
    <row r="166" spans="2:29">
      <c r="D166" s="335" t="s">
        <v>644</v>
      </c>
      <c r="E166" s="335"/>
      <c r="H166" s="282"/>
      <c r="I166" s="282"/>
      <c r="J166" s="979"/>
      <c r="K166" s="1500"/>
      <c r="L166" s="1501"/>
      <c r="M166" s="1501"/>
      <c r="N166" s="1501"/>
      <c r="O166" s="253"/>
      <c r="P166" s="253"/>
      <c r="Q166" s="346"/>
      <c r="R166" s="346"/>
      <c r="S166" s="346"/>
      <c r="T166" s="346"/>
      <c r="U166" s="346"/>
      <c r="V166" s="346"/>
      <c r="W166" s="346"/>
      <c r="X166" s="346"/>
      <c r="Y166" s="346"/>
      <c r="Z166" s="346"/>
      <c r="AA166" s="346"/>
      <c r="AB166" s="346"/>
      <c r="AC166" s="346"/>
    </row>
    <row r="167" spans="2:29">
      <c r="D167" s="335"/>
      <c r="E167" s="335" t="s">
        <v>635</v>
      </c>
      <c r="H167" s="332"/>
      <c r="I167" s="326"/>
      <c r="J167" s="1485"/>
      <c r="K167" s="1502"/>
      <c r="L167" s="1501" t="str">
        <f>IF(N(K167)&lt;&gt;ROUNDDOWN(N(K167),0),1,"")</f>
        <v/>
      </c>
      <c r="M167" s="1501"/>
      <c r="N167" s="1503" t="str">
        <f>IF(H167+K167=0,"",H167+K167)</f>
        <v/>
      </c>
      <c r="O167" s="253"/>
      <c r="P167" s="253"/>
      <c r="Q167" s="346"/>
      <c r="R167" s="346"/>
      <c r="S167" s="346"/>
      <c r="T167" s="346"/>
      <c r="U167" s="346"/>
      <c r="V167" s="346"/>
      <c r="W167" s="346"/>
      <c r="X167" s="346"/>
      <c r="Y167" s="346"/>
      <c r="Z167" s="346"/>
      <c r="AA167" s="346"/>
      <c r="AB167" s="346"/>
      <c r="AC167" s="346"/>
    </row>
    <row r="168" spans="2:29" ht="12.45" customHeight="1">
      <c r="D168" s="335"/>
      <c r="E168" s="335"/>
      <c r="H168" s="330"/>
      <c r="I168" s="326"/>
      <c r="J168" s="979"/>
      <c r="K168" s="1500"/>
      <c r="L168" s="1501"/>
      <c r="M168" s="1501"/>
      <c r="N168" s="1501"/>
      <c r="O168" s="253"/>
      <c r="P168" s="253"/>
      <c r="Q168" s="346"/>
      <c r="R168" s="346"/>
      <c r="S168" s="346"/>
      <c r="T168" s="346"/>
      <c r="U168" s="346"/>
      <c r="V168" s="346"/>
      <c r="W168" s="346"/>
      <c r="X168" s="346"/>
      <c r="Y168" s="346"/>
      <c r="Z168" s="346"/>
      <c r="AA168" s="346"/>
      <c r="AB168" s="346"/>
      <c r="AC168" s="346"/>
    </row>
    <row r="169" spans="2:29">
      <c r="D169" s="335" t="s">
        <v>645</v>
      </c>
      <c r="E169" s="335"/>
      <c r="H169" s="332"/>
      <c r="I169" s="326"/>
      <c r="J169" s="1485"/>
      <c r="K169" s="1502"/>
      <c r="L169" s="1501" t="str">
        <f>IF(N(K169)&lt;&gt;ROUNDDOWN(N(K169),0),1,"")</f>
        <v/>
      </c>
      <c r="M169" s="1501"/>
      <c r="N169" s="1503" t="str">
        <f>IF(H169+K169=0,"",H169+K169)</f>
        <v/>
      </c>
      <c r="O169" s="253"/>
      <c r="P169" s="253"/>
      <c r="Q169" s="346"/>
      <c r="R169" s="346"/>
      <c r="S169" s="346"/>
      <c r="T169" s="346"/>
      <c r="U169" s="346"/>
      <c r="V169" s="346"/>
      <c r="W169" s="346"/>
      <c r="X169" s="346"/>
      <c r="Y169" s="346"/>
      <c r="Z169" s="346"/>
      <c r="AA169" s="346"/>
      <c r="AB169" s="346"/>
      <c r="AC169" s="346"/>
    </row>
    <row r="170" spans="2:29" ht="12.45" customHeight="1">
      <c r="D170" s="335"/>
      <c r="E170" s="335"/>
      <c r="H170" s="330"/>
      <c r="I170" s="326"/>
      <c r="J170" s="979"/>
      <c r="K170" s="1500"/>
      <c r="L170" s="1501"/>
      <c r="M170" s="1501"/>
      <c r="N170" s="1501"/>
      <c r="O170" s="253"/>
      <c r="P170" s="253"/>
      <c r="Q170" s="346"/>
      <c r="R170" s="346"/>
      <c r="S170" s="346"/>
      <c r="T170" s="346"/>
      <c r="U170" s="346"/>
      <c r="V170" s="346"/>
      <c r="W170" s="346"/>
      <c r="X170" s="346"/>
      <c r="Y170" s="346"/>
      <c r="Z170" s="346"/>
      <c r="AA170" s="346"/>
      <c r="AB170" s="346"/>
      <c r="AC170" s="346"/>
    </row>
    <row r="171" spans="2:29" ht="12.75" customHeight="1">
      <c r="D171" s="344" t="s">
        <v>596</v>
      </c>
      <c r="E171" s="277"/>
      <c r="F171" s="243"/>
      <c r="G171" s="243"/>
      <c r="H171" s="332"/>
      <c r="I171" s="326"/>
      <c r="J171" s="1485"/>
      <c r="K171" s="1502"/>
      <c r="L171" s="1501" t="str">
        <f>IF(N(K171)&lt;&gt;ROUNDDOWN(N(K171),0),1,"")</f>
        <v/>
      </c>
      <c r="M171" s="1501"/>
      <c r="N171" s="1503" t="str">
        <f>IF(H171+K171=0,"",H171+K171)</f>
        <v/>
      </c>
      <c r="O171" s="253"/>
      <c r="P171" s="253"/>
      <c r="Q171" s="2073" t="s">
        <v>841</v>
      </c>
      <c r="R171" s="2073"/>
      <c r="S171" s="2073"/>
      <c r="T171" s="2073"/>
      <c r="U171" s="2073"/>
      <c r="V171" s="2073"/>
      <c r="W171" s="2073"/>
      <c r="X171" s="2073"/>
      <c r="Y171" s="2073"/>
      <c r="Z171" s="2073"/>
      <c r="AA171" s="346"/>
      <c r="AB171" s="346"/>
      <c r="AC171" s="346"/>
    </row>
    <row r="172" spans="2:29" ht="12.45" customHeight="1">
      <c r="H172" s="330"/>
      <c r="I172" s="326"/>
      <c r="J172" s="979"/>
      <c r="K172" s="1500"/>
      <c r="L172" s="1501"/>
      <c r="M172" s="1501"/>
      <c r="N172" s="1501"/>
      <c r="O172" s="253"/>
      <c r="P172" s="253"/>
      <c r="Q172" s="2073"/>
      <c r="R172" s="2073"/>
      <c r="S172" s="2073"/>
      <c r="T172" s="2073"/>
      <c r="U172" s="2073"/>
      <c r="V172" s="2073"/>
      <c r="W172" s="2073"/>
      <c r="X172" s="2073"/>
      <c r="Y172" s="2073"/>
      <c r="Z172" s="2073"/>
      <c r="AA172" s="346"/>
      <c r="AB172" s="346"/>
      <c r="AC172" s="346"/>
    </row>
    <row r="173" spans="2:29">
      <c r="B173" s="329" t="s">
        <v>646</v>
      </c>
      <c r="C173" s="344" t="s">
        <v>647</v>
      </c>
      <c r="G173" s="327" t="s">
        <v>599</v>
      </c>
      <c r="H173" s="976" t="str">
        <f>IF(SUM(H148:H171)=0,"",SUM(H148:H171))</f>
        <v/>
      </c>
      <c r="I173" s="326"/>
      <c r="J173" s="1488" t="s">
        <v>599</v>
      </c>
      <c r="K173" s="1504" t="str">
        <f>IF(SUM(K148:K171)=0,"",SUM(K148:K171))</f>
        <v/>
      </c>
      <c r="L173" s="1501"/>
      <c r="M173" s="1505" t="s">
        <v>599</v>
      </c>
      <c r="N173" s="1503" t="str">
        <f>IF(N(H173)+N(K173)=0,"",N(H173)+N(K173))</f>
        <v/>
      </c>
      <c r="O173" s="253"/>
      <c r="P173" s="253"/>
      <c r="Q173" s="346"/>
      <c r="R173" s="346"/>
      <c r="S173" s="346"/>
      <c r="T173" s="346"/>
      <c r="U173" s="346"/>
      <c r="V173" s="346"/>
      <c r="W173" s="346"/>
      <c r="X173" s="346"/>
      <c r="Y173" s="346"/>
      <c r="Z173" s="346"/>
      <c r="AA173" s="346"/>
      <c r="AB173" s="346"/>
      <c r="AC173" s="346"/>
    </row>
    <row r="174" spans="2:29" ht="12.45" customHeight="1">
      <c r="H174" s="282"/>
      <c r="I174" s="326"/>
      <c r="J174" s="979"/>
      <c r="K174" s="1500"/>
      <c r="L174" s="1501"/>
      <c r="M174" s="1501"/>
      <c r="N174" s="1501"/>
      <c r="O174" s="253"/>
      <c r="P174" s="253"/>
      <c r="Q174" s="346"/>
      <c r="R174" s="346"/>
      <c r="S174" s="346"/>
      <c r="T174" s="346"/>
      <c r="U174" s="346"/>
      <c r="V174" s="346"/>
      <c r="W174" s="346"/>
      <c r="X174" s="346"/>
      <c r="Y174" s="346"/>
      <c r="Z174" s="346"/>
      <c r="AA174" s="346"/>
      <c r="AB174" s="346"/>
      <c r="AC174" s="346"/>
    </row>
    <row r="175" spans="2:29">
      <c r="B175" s="329"/>
      <c r="C175" s="325" t="s">
        <v>648</v>
      </c>
      <c r="D175" s="277"/>
      <c r="E175" s="277"/>
      <c r="F175" s="277"/>
      <c r="G175" s="277"/>
      <c r="H175" s="312"/>
      <c r="I175" s="312"/>
      <c r="J175" s="1485"/>
      <c r="K175" s="1502"/>
      <c r="L175" s="1509"/>
      <c r="M175" s="1509"/>
      <c r="N175" s="1509"/>
      <c r="O175" s="253"/>
      <c r="P175" s="253"/>
      <c r="Q175" s="346"/>
      <c r="R175" s="346"/>
      <c r="S175" s="346"/>
      <c r="T175" s="346"/>
      <c r="U175" s="346"/>
      <c r="V175" s="346"/>
      <c r="W175" s="346"/>
      <c r="X175" s="346"/>
      <c r="Y175" s="346"/>
      <c r="Z175" s="346"/>
      <c r="AA175" s="346"/>
      <c r="AB175" s="346"/>
      <c r="AC175" s="346"/>
    </row>
    <row r="176" spans="2:29">
      <c r="B176" s="277"/>
      <c r="C176" s="325" t="s">
        <v>649</v>
      </c>
      <c r="D176" s="328"/>
      <c r="E176" s="250"/>
      <c r="F176" s="250"/>
      <c r="G176" s="243"/>
      <c r="H176" s="312"/>
      <c r="I176" s="281"/>
      <c r="J176" s="1485"/>
      <c r="K176" s="1502"/>
      <c r="L176" s="1503"/>
      <c r="M176" s="1503"/>
      <c r="N176" s="1503"/>
      <c r="O176" s="253"/>
      <c r="P176" s="253"/>
      <c r="Q176" s="2149"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76" s="2149"/>
      <c r="S176" s="2149"/>
      <c r="T176" s="2149"/>
      <c r="U176" s="2149"/>
      <c r="V176" s="2149"/>
      <c r="W176" s="2149"/>
      <c r="X176" s="2149"/>
      <c r="Y176" s="2149"/>
      <c r="Z176" s="2149"/>
      <c r="AA176" s="346"/>
      <c r="AB176" s="346"/>
      <c r="AC176" s="346"/>
    </row>
    <row r="177" spans="1:30" ht="12.75" customHeight="1">
      <c r="B177" s="243"/>
      <c r="C177" s="336"/>
      <c r="D177" s="277" t="s">
        <v>650</v>
      </c>
      <c r="E177" s="243"/>
      <c r="F177" s="243"/>
      <c r="G177" s="329"/>
      <c r="H177" s="370"/>
      <c r="I177" s="979"/>
      <c r="J177" s="1485"/>
      <c r="K177" s="1502"/>
      <c r="L177" s="1501" t="str">
        <f>IF(N(K177)&lt;&gt;ROUNDDOWN(N(K177),0),1,"")</f>
        <v/>
      </c>
      <c r="M177" s="1505"/>
      <c r="N177" s="1509" t="str">
        <f>IF(H177+K177=0,"",H177+K177)</f>
        <v/>
      </c>
      <c r="O177" s="253"/>
      <c r="P177" s="253"/>
      <c r="Q177" s="2149"/>
      <c r="R177" s="2149"/>
      <c r="S177" s="2149"/>
      <c r="T177" s="2149"/>
      <c r="U177" s="2149"/>
      <c r="V177" s="2149"/>
      <c r="W177" s="2149"/>
      <c r="X177" s="2149"/>
      <c r="Y177" s="2149"/>
      <c r="Z177" s="2149"/>
      <c r="AA177" s="346"/>
      <c r="AB177" s="346"/>
      <c r="AC177" s="346"/>
    </row>
    <row r="178" spans="1:30" ht="12.45" customHeight="1">
      <c r="C178" s="336"/>
      <c r="D178" s="277"/>
      <c r="E178" s="243"/>
      <c r="F178" s="243"/>
      <c r="G178" s="243"/>
      <c r="H178" s="981"/>
      <c r="I178" s="979"/>
      <c r="J178" s="979"/>
      <c r="K178" s="1500"/>
      <c r="L178" s="1503"/>
      <c r="M178" s="1503"/>
      <c r="N178" s="1503"/>
      <c r="O178" s="253"/>
      <c r="P178" s="253"/>
      <c r="Q178" s="2150" t="s">
        <v>2128</v>
      </c>
      <c r="R178" s="2150"/>
      <c r="S178" s="2150"/>
      <c r="T178" s="2150"/>
      <c r="U178" s="2150"/>
      <c r="V178" s="2150"/>
      <c r="W178" s="2150"/>
      <c r="X178" s="2150"/>
      <c r="Y178" s="2150"/>
      <c r="Z178" s="2150"/>
      <c r="AA178" s="346"/>
      <c r="AB178" s="346"/>
      <c r="AC178" s="346"/>
    </row>
    <row r="179" spans="1:30">
      <c r="B179" s="329"/>
      <c r="C179" s="328"/>
      <c r="D179" s="328" t="s">
        <v>596</v>
      </c>
      <c r="E179" s="322"/>
      <c r="F179" s="322"/>
      <c r="G179" s="329"/>
      <c r="H179" s="370"/>
      <c r="I179" s="979"/>
      <c r="J179" s="1485"/>
      <c r="K179" s="1502"/>
      <c r="L179" s="1501" t="str">
        <f>IF(N(K179)&lt;&gt;ROUNDDOWN(N(K179),0),1,"")</f>
        <v/>
      </c>
      <c r="M179" s="1505"/>
      <c r="N179" s="1509" t="str">
        <f>IF(H179+K179=0,"",H179+K179)</f>
        <v/>
      </c>
      <c r="O179" s="253"/>
      <c r="P179" s="253"/>
      <c r="Q179" s="2151"/>
      <c r="R179" s="2151"/>
      <c r="S179" s="2151"/>
      <c r="T179" s="2151"/>
      <c r="U179" s="2151"/>
      <c r="V179" s="2151"/>
      <c r="W179" s="2151"/>
      <c r="X179" s="2151"/>
      <c r="Y179" s="2151"/>
      <c r="Z179" s="2151"/>
      <c r="AA179" s="346"/>
      <c r="AB179" s="346"/>
      <c r="AC179" s="346"/>
    </row>
    <row r="180" spans="1:30" ht="12.45" customHeight="1">
      <c r="B180" s="336"/>
      <c r="C180" s="243"/>
      <c r="D180" s="277"/>
      <c r="E180" s="243"/>
      <c r="F180" s="243"/>
      <c r="G180" s="322"/>
      <c r="H180" s="981"/>
      <c r="I180" s="979"/>
      <c r="J180" s="979"/>
      <c r="K180" s="1500"/>
      <c r="L180" s="1510"/>
      <c r="M180" s="1510"/>
      <c r="N180" s="1510"/>
      <c r="O180" s="253"/>
      <c r="P180" s="253"/>
      <c r="Q180" s="2152"/>
      <c r="R180" s="2152"/>
      <c r="S180" s="2152"/>
      <c r="T180" s="2152"/>
      <c r="U180" s="2152"/>
      <c r="V180" s="2152"/>
      <c r="W180" s="2152"/>
      <c r="X180" s="2152"/>
      <c r="Y180" s="2152"/>
      <c r="Z180" s="2152"/>
      <c r="AA180" s="346"/>
      <c r="AB180" s="346"/>
      <c r="AC180" s="346"/>
    </row>
    <row r="181" spans="1:30">
      <c r="B181" s="329" t="s">
        <v>651</v>
      </c>
      <c r="C181" s="328" t="s">
        <v>652</v>
      </c>
      <c r="D181" s="277"/>
      <c r="E181" s="243"/>
      <c r="F181" s="243"/>
      <c r="G181" s="322"/>
      <c r="H181" s="982"/>
      <c r="I181" s="983"/>
      <c r="J181" s="1499"/>
      <c r="K181" s="1511"/>
      <c r="L181" s="1510"/>
      <c r="M181" s="1510"/>
      <c r="N181" s="1510"/>
      <c r="O181" s="253"/>
      <c r="P181" s="253"/>
      <c r="Q181" s="2149"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81" s="2149"/>
      <c r="S181" s="2149"/>
      <c r="T181" s="2149"/>
      <c r="U181" s="2149"/>
      <c r="V181" s="2149"/>
      <c r="W181" s="2149"/>
      <c r="X181" s="2149"/>
      <c r="Y181" s="2149"/>
      <c r="Z181" s="2149"/>
      <c r="AA181" s="346"/>
      <c r="AB181" s="346"/>
      <c r="AC181" s="346"/>
    </row>
    <row r="182" spans="1:30">
      <c r="B182" s="329"/>
      <c r="C182" s="328" t="s">
        <v>649</v>
      </c>
      <c r="D182" s="277"/>
      <c r="E182" s="243"/>
      <c r="F182" s="243"/>
      <c r="G182" s="327" t="s">
        <v>599</v>
      </c>
      <c r="H182" s="976" t="str">
        <f>IF(SUM(H177:H180)=0,"",SUM(H177:H180))</f>
        <v/>
      </c>
      <c r="I182" s="979"/>
      <c r="J182" s="1488" t="s">
        <v>599</v>
      </c>
      <c r="K182" s="1504" t="str">
        <f>IF(SUM(K177:K180)=0,"",SUM(K177:K180))</f>
        <v/>
      </c>
      <c r="L182" s="1501"/>
      <c r="M182" s="1505" t="s">
        <v>599</v>
      </c>
      <c r="N182" s="1503" t="str">
        <f>IF(N(H182)+N(K182)=0,"",N(H182)+N(K182))</f>
        <v/>
      </c>
      <c r="O182" s="253"/>
      <c r="P182" s="253"/>
      <c r="Q182" s="2149"/>
      <c r="R182" s="2149"/>
      <c r="S182" s="2149"/>
      <c r="T182" s="2149"/>
      <c r="U182" s="2149"/>
      <c r="V182" s="2149"/>
      <c r="W182" s="2149"/>
      <c r="X182" s="2149"/>
      <c r="Y182" s="2149"/>
      <c r="Z182" s="2149"/>
      <c r="AA182" s="346"/>
      <c r="AB182" s="346"/>
      <c r="AC182" s="346"/>
    </row>
    <row r="183" spans="1:30" ht="12.45" customHeight="1">
      <c r="B183" s="336"/>
      <c r="C183" s="243"/>
      <c r="D183" s="277"/>
      <c r="E183" s="243"/>
      <c r="F183" s="243"/>
      <c r="G183" s="338"/>
      <c r="H183" s="980"/>
      <c r="I183" s="979"/>
      <c r="J183" s="1498"/>
      <c r="K183" s="1500"/>
      <c r="L183" s="1510"/>
      <c r="M183" s="1510"/>
      <c r="N183" s="1510"/>
      <c r="O183" s="253"/>
      <c r="P183" s="320"/>
    </row>
    <row r="184" spans="1:30">
      <c r="B184" s="329" t="s">
        <v>653</v>
      </c>
      <c r="C184" s="328" t="s">
        <v>654</v>
      </c>
      <c r="D184" s="328"/>
      <c r="E184" s="250"/>
      <c r="F184" s="250"/>
      <c r="G184" s="327" t="s">
        <v>599</v>
      </c>
      <c r="H184" s="976" t="str">
        <f>IF(SUM(H71,H73,H137,H139,H173,H182)=0,"",SUM(H71,H73,H137,H139,H173,H182))</f>
        <v/>
      </c>
      <c r="I184" s="979"/>
      <c r="J184" s="1488" t="s">
        <v>599</v>
      </c>
      <c r="K184" s="1504" t="str">
        <f>IF(SUM(K71,K73,K137,K139,K173,K182)=0,"",SUM(K71,K73,K137,K139,K173,K182))</f>
        <v/>
      </c>
      <c r="L184" s="1501"/>
      <c r="M184" s="1505" t="s">
        <v>599</v>
      </c>
      <c r="N184" s="1503" t="str">
        <f>IF(N(H184)+N(K184)=0,"",N(H184)+N(K184))</f>
        <v/>
      </c>
      <c r="O184" s="253"/>
      <c r="P184" s="320"/>
    </row>
    <row r="185" spans="1:30">
      <c r="B185" s="241"/>
      <c r="C185" s="243"/>
      <c r="D185" s="277" t="s">
        <v>655</v>
      </c>
      <c r="E185" s="243"/>
      <c r="F185" s="243"/>
      <c r="G185" s="243"/>
      <c r="H185" s="282"/>
      <c r="I185" s="326"/>
      <c r="J185" s="979"/>
      <c r="K185" s="1500"/>
      <c r="L185" s="1503"/>
      <c r="M185" s="1503"/>
      <c r="N185" s="1503"/>
      <c r="O185" s="253"/>
      <c r="P185" s="320"/>
    </row>
    <row r="186" spans="1:30" ht="12.45" customHeight="1">
      <c r="B186" s="343"/>
      <c r="C186" s="342"/>
      <c r="D186" s="322"/>
      <c r="E186" s="322"/>
      <c r="F186" s="322"/>
      <c r="G186" s="322"/>
      <c r="H186" s="339"/>
      <c r="I186" s="340"/>
      <c r="J186" s="1499"/>
      <c r="K186" s="1511"/>
      <c r="L186" s="1510"/>
      <c r="M186" s="1510"/>
      <c r="N186" s="1510"/>
      <c r="O186" s="253"/>
      <c r="P186" s="320"/>
      <c r="Q186" s="1001"/>
      <c r="R186" s="637"/>
      <c r="S186" s="637"/>
      <c r="T186" s="637"/>
      <c r="U186" s="637"/>
      <c r="V186" s="637"/>
      <c r="W186" s="637"/>
      <c r="X186" s="637"/>
      <c r="Y186" s="637"/>
      <c r="Z186" s="637"/>
      <c r="AA186" s="637"/>
      <c r="AB186" s="637"/>
      <c r="AC186" s="637"/>
      <c r="AD186" s="637"/>
    </row>
    <row r="187" spans="1:30">
      <c r="C187" s="341" t="s">
        <v>784</v>
      </c>
      <c r="D187" s="328"/>
      <c r="E187" s="243"/>
      <c r="F187" s="243"/>
      <c r="G187" s="322"/>
      <c r="H187" s="339"/>
      <c r="I187" s="340"/>
      <c r="J187" s="1499"/>
      <c r="K187" s="1511"/>
      <c r="L187" s="1510"/>
      <c r="M187" s="1510"/>
      <c r="N187" s="1510"/>
      <c r="O187" s="253"/>
      <c r="P187" s="320"/>
      <c r="Q187" s="1001" t="s">
        <v>840</v>
      </c>
      <c r="R187" s="637"/>
      <c r="S187" s="637"/>
      <c r="T187" s="637"/>
      <c r="U187" s="637"/>
      <c r="V187" s="637"/>
      <c r="W187" s="637"/>
      <c r="X187" s="637"/>
      <c r="Y187" s="637"/>
      <c r="Z187" s="637"/>
    </row>
    <row r="188" spans="1:30">
      <c r="B188" s="337"/>
      <c r="C188" s="336"/>
      <c r="D188" s="277" t="s">
        <v>656</v>
      </c>
      <c r="E188" s="277"/>
      <c r="F188" s="277"/>
      <c r="G188" s="322"/>
      <c r="H188" s="370"/>
      <c r="I188" s="979"/>
      <c r="J188" s="1485"/>
      <c r="K188" s="1502"/>
      <c r="L188" s="1501" t="str">
        <f>IF(N(K188)&lt;&gt;ROUNDDOWN(N(K188),0),1,"")</f>
        <v/>
      </c>
      <c r="M188" s="1501"/>
      <c r="N188" s="1503" t="str">
        <f>IF(H188+K188=0,"",H188+K188)</f>
        <v/>
      </c>
      <c r="O188" s="253"/>
      <c r="P188" s="1082" t="str">
        <f>IF(N(Developer_fee_acq_total)&gt;N(F189),"**","")</f>
        <v/>
      </c>
    </row>
    <row r="189" spans="1:30">
      <c r="B189" s="337"/>
      <c r="C189" s="336"/>
      <c r="D189" s="2071" t="str">
        <f>"Max DF @ "&amp;TEXT(DS_MaxDevFeeAcq_Percent,"#0%")&amp;":"</f>
        <v>Max DF @ 16%:</v>
      </c>
      <c r="E189" s="2071"/>
      <c r="F189" s="1000">
        <f>ROUNDDOWN(N(DS_MaxDevFeeAcq_Percent)*N(Acquisition_total),0)</f>
        <v>0</v>
      </c>
      <c r="G189" s="322"/>
      <c r="H189" s="981"/>
      <c r="I189" s="979"/>
      <c r="J189" s="979"/>
      <c r="K189" s="1500"/>
      <c r="L189" s="1510"/>
      <c r="M189" s="1510"/>
      <c r="N189" s="1510"/>
      <c r="O189" s="253"/>
      <c r="P189" s="1017" t="str">
        <f>IF(AND(N(N182)&gt;0,N(N188)=0,N(N195)=0),"No",IF(N(N188)&gt;ROUNDDOWN(N(N182)*IF(N(DS_MaxDevFeeAcq_Percent)=21%,16%,N(DS_MaxDevFeeAcq_Percent)),0),"No","Yes"))</f>
        <v>Yes</v>
      </c>
    </row>
    <row r="190" spans="1:30">
      <c r="B190" s="337"/>
      <c r="C190" s="336"/>
      <c r="D190" s="277" t="s">
        <v>657</v>
      </c>
      <c r="E190" s="277"/>
      <c r="F190" s="277"/>
      <c r="G190" s="322"/>
      <c r="H190" s="370"/>
      <c r="I190" s="979"/>
      <c r="J190" s="1485"/>
      <c r="K190" s="1502"/>
      <c r="L190" s="1501" t="str">
        <f>IF(N(K190)&lt;&gt;ROUNDDOWN(N(K190),0),1,"")</f>
        <v/>
      </c>
      <c r="M190" s="1501"/>
      <c r="N190" s="1503" t="str">
        <f>IF(H190+K190=0,"",H190+K190)</f>
        <v/>
      </c>
      <c r="O190" s="253"/>
      <c r="P190" s="1082" t="str">
        <f>IF(N(Developer_fee_non_acq_total)&gt;N(F191),"**","")</f>
        <v/>
      </c>
    </row>
    <row r="191" spans="1:30">
      <c r="B191" s="337"/>
      <c r="C191" s="336"/>
      <c r="D191" s="2071" t="str">
        <f>"Max DF @ "&amp;TEXT(DS_MaxDevFeeNonAcq_Percent,"#0%")&amp;":"</f>
        <v>Max DF @ 16%:</v>
      </c>
      <c r="E191" s="2071"/>
      <c r="F191" s="1000">
        <f>ROUNDDOWN(N(DS_MaxDevFeeNonAcq_Percent)*(N(Development_Cost_total)-N(Acquisition_total)),0)</f>
        <v>0</v>
      </c>
      <c r="G191" s="322"/>
      <c r="H191" s="981"/>
      <c r="I191" s="979"/>
      <c r="J191" s="979"/>
      <c r="K191" s="1500"/>
      <c r="L191" s="1503"/>
      <c r="M191" s="1501"/>
      <c r="N191" s="1503"/>
      <c r="O191" s="253"/>
      <c r="P191" s="1017" t="str">
        <f>IF(OR(N(N190)&gt;ROUNDDOWN((N(N184)-N(N182))*IF(N(DS_MaxDevFeeNonAcq_Percent)=21%,16%,N(DS_MaxDevFeeNonAcq_Percent)),0),AND(N(N184)-N(N182)&gt;0,N(N190)=0,N(N195)=0)),"No","Yes")</f>
        <v>Yes</v>
      </c>
    </row>
    <row r="192" spans="1:30">
      <c r="A192" s="637"/>
      <c r="B192" s="876"/>
      <c r="C192" s="877"/>
      <c r="D192" s="878" t="s">
        <v>1423</v>
      </c>
      <c r="E192" s="878"/>
      <c r="F192" s="878"/>
      <c r="G192" s="322"/>
      <c r="H192" s="984"/>
      <c r="I192" s="985"/>
      <c r="J192" s="1487"/>
      <c r="K192" s="1502"/>
      <c r="L192" s="1503"/>
      <c r="M192" s="1501"/>
      <c r="N192" s="1503"/>
      <c r="O192" s="253"/>
      <c r="P192" s="320"/>
      <c r="Q192" s="1002"/>
      <c r="R192" s="637"/>
      <c r="S192" s="637"/>
      <c r="T192" s="637"/>
      <c r="U192" s="637"/>
      <c r="V192" s="637"/>
      <c r="W192" s="637"/>
      <c r="X192" s="637"/>
      <c r="Y192" s="637"/>
      <c r="Z192" s="637"/>
      <c r="AA192" s="637"/>
      <c r="AB192" s="637"/>
      <c r="AC192" s="637"/>
      <c r="AD192" s="637"/>
    </row>
    <row r="193" spans="1:29" ht="15" hidden="1" customHeight="1">
      <c r="A193" s="637"/>
      <c r="B193" s="876"/>
      <c r="C193" s="877"/>
      <c r="D193" s="878" t="s">
        <v>1424</v>
      </c>
      <c r="E193" s="878"/>
      <c r="F193" s="878"/>
      <c r="G193" s="322"/>
      <c r="H193" s="1018"/>
      <c r="I193" s="985"/>
      <c r="J193" s="1487"/>
      <c r="K193" s="1504"/>
      <c r="L193" s="1503"/>
      <c r="M193" s="1501"/>
      <c r="N193" s="1519" t="str">
        <f>IF(N(H193)+N(K193)=0,"",N(H193)+N(K193))</f>
        <v/>
      </c>
      <c r="O193" s="253"/>
      <c r="P193" s="320"/>
      <c r="Q193" s="2177" t="str">
        <f>IF((Data3!G159+Data3!G161)=21%,"If 21% is selected for Max. Dev. Fee % above, the 5% operating deficit reserve portion will be automatically entered on this row and is considered to be in addition to the amount(s) listed on the other Developer Fee line item(s).","")</f>
        <v/>
      </c>
      <c r="R193" s="2177"/>
      <c r="S193" s="2177"/>
      <c r="T193" s="2177"/>
      <c r="U193" s="2177"/>
      <c r="V193" s="2177"/>
      <c r="W193" s="2177"/>
      <c r="X193" s="2177"/>
      <c r="Y193" s="2177"/>
      <c r="Z193" s="2177"/>
    </row>
    <row r="194" spans="1:29" ht="15" hidden="1" customHeight="1">
      <c r="B194" s="337"/>
      <c r="C194" s="336"/>
      <c r="D194" s="2071" t="str">
        <f>"Max DF @ "&amp;TEXT(DS_MaxDevFeeODR_Percent,"#0%")&amp;":"</f>
        <v>Max DF @ 0%:</v>
      </c>
      <c r="E194" s="2071"/>
      <c r="F194" s="1000">
        <f>ROUNDDOWN(N(DS_MaxDevFeeODR_Percent)*N(Development_Cost_total),0)</f>
        <v>0</v>
      </c>
      <c r="G194" s="322"/>
      <c r="H194" s="984"/>
      <c r="I194" s="985"/>
      <c r="J194" s="1487"/>
      <c r="K194" s="1502"/>
      <c r="L194" s="1503"/>
      <c r="M194" s="1501"/>
      <c r="N194" s="1503"/>
      <c r="O194" s="253"/>
      <c r="P194" s="320"/>
      <c r="Q194" s="2177"/>
      <c r="R194" s="2177"/>
      <c r="S194" s="2177"/>
      <c r="T194" s="2177"/>
      <c r="U194" s="2177"/>
      <c r="V194" s="2177"/>
      <c r="W194" s="2177"/>
      <c r="X194" s="2177"/>
      <c r="Y194" s="2177"/>
      <c r="Z194" s="2177"/>
    </row>
    <row r="195" spans="1:29">
      <c r="B195" s="329" t="s">
        <v>658</v>
      </c>
      <c r="C195" s="328" t="s">
        <v>659</v>
      </c>
      <c r="D195" s="328"/>
      <c r="E195" s="277"/>
      <c r="F195" s="277"/>
      <c r="G195" s="327" t="s">
        <v>599</v>
      </c>
      <c r="H195" s="976" t="str">
        <f>IF(SUM(H188:H193)=0,"",SUM(H188:H193))</f>
        <v/>
      </c>
      <c r="I195" s="985"/>
      <c r="J195" s="1488" t="s">
        <v>599</v>
      </c>
      <c r="K195" s="1504" t="str">
        <f>IF(SUM(K188:K193)=0,"",SUM(K188:K193))</f>
        <v/>
      </c>
      <c r="L195" s="1501"/>
      <c r="M195" s="1505" t="s">
        <v>599</v>
      </c>
      <c r="N195" s="1503" t="str">
        <f>IF(N(H195)+N(K195)=0,"",N(H195)+N(K195))</f>
        <v/>
      </c>
      <c r="O195" s="253"/>
      <c r="P195" s="1082" t="str">
        <f>IF(N(Developer_fee_total)&gt;N(F196),"**","")</f>
        <v/>
      </c>
      <c r="Q195" s="2074" t="str">
        <f>IF(P196="No",IF(AND(N(N184)&gt;0,N(N195)=0),"A Developer fee must be entered.  If it is not, the RFA requires the scorer to add the maximum Developer Fee ("&amp;TEXT(F196,"$#,##0.00")&amp;").",IF(AND(N(N195)&gt;F196,P189="No",P191="No"),"The resulting amount for 'Total Developer Fee' is too high by "&amp;TEXT(N(N195)-F196,"$#,##0.00")&amp;".",IF(AND(P189="No",P191="Yes"),"The amount entered for 'Developer Fee on Acquisition Costs' is too high by "&amp;TEXT(N188-F189,"$#,##0.00")&amp;".",IF(AND(P189="Yes",P191="No"),"The amount entered for 'Developer Fee on Non-Acquisition Costs' is too high by "&amp;TEXT(N190-F191,"$#,##0.00")&amp;".","")))),"")</f>
        <v/>
      </c>
      <c r="R195" s="2074"/>
      <c r="S195" s="2074"/>
      <c r="T195" s="2074"/>
      <c r="U195" s="2074"/>
      <c r="V195" s="2074"/>
      <c r="W195" s="2074"/>
      <c r="X195" s="2074"/>
      <c r="Y195" s="2074"/>
      <c r="Z195" s="2074"/>
      <c r="AA195" s="733"/>
      <c r="AB195" s="733"/>
    </row>
    <row r="196" spans="1:29">
      <c r="B196" s="335"/>
      <c r="C196" s="335"/>
      <c r="D196" s="2071" t="s">
        <v>1501</v>
      </c>
      <c r="E196" s="2071"/>
      <c r="F196" s="1000" t="str">
        <f>IF(SUM(N(F189)+N(F191)+N(F194))=0,"",SUM(N(F189)+N(F191)+N(F194)))</f>
        <v/>
      </c>
      <c r="H196" s="980"/>
      <c r="I196" s="979"/>
      <c r="J196" s="1479"/>
      <c r="K196" s="1500"/>
      <c r="L196" s="1506"/>
      <c r="M196" s="1506"/>
      <c r="N196" s="1506"/>
      <c r="O196" s="253"/>
      <c r="P196" s="1017" t="str">
        <f>IF(OR(AND(N(N195)=0,N(N184)&gt;0),N(N195)&gt;F196,P189="No",P191="No"),"No","Yes")</f>
        <v>Yes</v>
      </c>
      <c r="Q196" s="2074"/>
      <c r="R196" s="2074"/>
      <c r="S196" s="2074"/>
      <c r="T196" s="2074"/>
      <c r="U196" s="2074"/>
      <c r="V196" s="2074"/>
      <c r="W196" s="2074"/>
      <c r="X196" s="2074"/>
      <c r="Y196" s="2074"/>
      <c r="Z196" s="2074"/>
      <c r="AA196" s="733"/>
      <c r="AB196" s="733"/>
    </row>
    <row r="197" spans="1:29" ht="13.8">
      <c r="B197" s="961" t="s">
        <v>660</v>
      </c>
      <c r="C197" s="962" t="s">
        <v>785</v>
      </c>
      <c r="D197" s="637"/>
      <c r="E197" s="637"/>
      <c r="F197" s="637"/>
      <c r="G197" s="329" t="s">
        <v>599</v>
      </c>
      <c r="H197" s="888"/>
      <c r="I197" s="979"/>
      <c r="J197" s="1497" t="s">
        <v>599</v>
      </c>
      <c r="K197" s="1502">
        <v>0</v>
      </c>
      <c r="L197" s="1501"/>
      <c r="M197" s="1508" t="s">
        <v>599</v>
      </c>
      <c r="N197" s="1503" t="str">
        <f>IF(H197+K197=0,"",H197+K197)</f>
        <v/>
      </c>
      <c r="O197" s="253"/>
      <c r="P197" s="253"/>
      <c r="Q197" s="2153" t="str">
        <f>IF(ODR_ineligible=0,"","Operating Deficit Reserves are limited to 5% of Development Costs, which is "&amp;TEXT(ROUNDDOWN(N(N184)*5%,0),"$#,##0.00")&amp;".  The budget amount of "&amp;TEXT(N(N197),"$#,##0")&amp;" is "&amp;IF(N(N197)&gt;ROUNDDOWN(N(N184)*5%,0),"NOT ","")&amp;"in compliance with the restriction.")</f>
        <v/>
      </c>
      <c r="R197" s="2153"/>
      <c r="S197" s="2153"/>
      <c r="T197" s="2153"/>
      <c r="U197" s="2153"/>
      <c r="V197" s="2153"/>
      <c r="W197" s="2153"/>
      <c r="X197" s="2153"/>
      <c r="Y197" s="2153"/>
      <c r="Z197" s="2153"/>
    </row>
    <row r="198" spans="1:29" ht="12.45" customHeight="1">
      <c r="B198" s="241"/>
      <c r="C198" s="243"/>
      <c r="D198" s="328"/>
      <c r="E198" s="243"/>
      <c r="F198" s="243"/>
      <c r="G198" s="294"/>
      <c r="H198" s="980"/>
      <c r="I198" s="979"/>
      <c r="J198" s="1487"/>
      <c r="K198" s="1500"/>
      <c r="L198" s="1503"/>
      <c r="M198" s="1503"/>
      <c r="N198" s="1503"/>
      <c r="O198" s="253"/>
      <c r="P198" s="253"/>
      <c r="Q198" s="2154"/>
      <c r="R198" s="2154"/>
      <c r="S198" s="2154"/>
      <c r="T198" s="2154"/>
      <c r="U198" s="2154"/>
      <c r="V198" s="2154"/>
      <c r="W198" s="2154"/>
      <c r="X198" s="2154"/>
      <c r="Y198" s="2154"/>
      <c r="Z198" s="2154"/>
    </row>
    <row r="199" spans="1:29" ht="12.75" customHeight="1">
      <c r="B199" s="329" t="s">
        <v>661</v>
      </c>
      <c r="C199" s="328" t="s">
        <v>662</v>
      </c>
      <c r="D199" s="328"/>
      <c r="E199" s="243"/>
      <c r="F199" s="243"/>
      <c r="G199" s="327" t="s">
        <v>599</v>
      </c>
      <c r="H199" s="1426"/>
      <c r="I199" s="979"/>
      <c r="J199" s="1488" t="s">
        <v>599</v>
      </c>
      <c r="K199" s="1502"/>
      <c r="L199" s="1501" t="str">
        <f>IF(N(K199)&lt;&gt;ROUNDDOWN(N(K199),0),1,"")</f>
        <v/>
      </c>
      <c r="M199" s="1505" t="s">
        <v>599</v>
      </c>
      <c r="N199" s="1503" t="str">
        <f>IF(N(H199)+N(K199)=0,"",H199+K199)</f>
        <v/>
      </c>
      <c r="O199" s="253"/>
      <c r="P199" s="253"/>
      <c r="Q199" s="2075" t="str">
        <f>"The amount to be recognized for the "&amp;IF(N(N182)&gt;0,"allocation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99" s="2075"/>
      <c r="S199" s="2075"/>
      <c r="T199" s="2075"/>
      <c r="U199" s="2075"/>
      <c r="V199" s="2075"/>
      <c r="W199" s="2075"/>
      <c r="X199" s="2075"/>
      <c r="Y199" s="2075"/>
      <c r="Z199" s="2075"/>
      <c r="AA199" s="1083"/>
      <c r="AB199" s="1083"/>
      <c r="AC199" s="1083"/>
    </row>
    <row r="200" spans="1:29" ht="12.45" customHeight="1">
      <c r="B200" s="241"/>
      <c r="C200" s="243"/>
      <c r="D200" s="331"/>
      <c r="E200" s="243"/>
      <c r="F200" s="243"/>
      <c r="G200" s="294"/>
      <c r="H200" s="980"/>
      <c r="I200" s="979"/>
      <c r="J200" s="1487"/>
      <c r="K200" s="1500"/>
      <c r="L200" s="1503"/>
      <c r="M200" s="1503"/>
      <c r="N200" s="1503"/>
      <c r="O200" s="253"/>
      <c r="P200" s="253"/>
      <c r="Q200" s="2076"/>
      <c r="R200" s="2076"/>
      <c r="S200" s="2076"/>
      <c r="T200" s="2076"/>
      <c r="U200" s="2076"/>
      <c r="V200" s="2076"/>
      <c r="W200" s="2076"/>
      <c r="X200" s="2076"/>
      <c r="Y200" s="2076"/>
      <c r="Z200" s="2076"/>
      <c r="AA200" s="1083"/>
      <c r="AB200" s="1083"/>
      <c r="AC200" s="1083"/>
    </row>
    <row r="201" spans="1:29" ht="13.8">
      <c r="B201" s="329" t="s">
        <v>663</v>
      </c>
      <c r="C201" s="328" t="s">
        <v>786</v>
      </c>
      <c r="D201" s="328"/>
      <c r="E201" s="243"/>
      <c r="F201" s="243"/>
      <c r="G201" s="327" t="s">
        <v>599</v>
      </c>
      <c r="H201" s="976" t="str">
        <f>IF(SUM(H184,H195,H197,H199)=0,"",SUM(H184,H195,H197,H199))</f>
        <v/>
      </c>
      <c r="I201" s="979"/>
      <c r="J201" s="1488" t="s">
        <v>599</v>
      </c>
      <c r="K201" s="1504" t="str">
        <f>IF(SUM(K184,K195,K197,K199)=0,"",SUM(K184,K195,K197,K199))</f>
        <v/>
      </c>
      <c r="L201" s="1501"/>
      <c r="M201" s="1505" t="s">
        <v>599</v>
      </c>
      <c r="N201" s="1503" t="str">
        <f>IF(N(H201)+N(K201)=0,"",N(H201)+N(K201))</f>
        <v/>
      </c>
      <c r="O201" s="253"/>
      <c r="P201" s="253"/>
      <c r="Q201" s="245"/>
    </row>
    <row r="202" spans="1:29">
      <c r="B202" s="243"/>
      <c r="C202" s="243"/>
      <c r="D202" s="243" t="s">
        <v>664</v>
      </c>
      <c r="E202" s="243"/>
      <c r="F202" s="243"/>
      <c r="G202" s="243"/>
      <c r="H202" s="282"/>
      <c r="I202" s="326"/>
      <c r="J202" s="281"/>
      <c r="K202" s="282"/>
      <c r="L202" s="243"/>
      <c r="M202" s="243"/>
      <c r="N202" s="243"/>
      <c r="O202" s="253"/>
      <c r="P202" s="253"/>
      <c r="S202" s="243"/>
    </row>
    <row r="203" spans="1:29" ht="3.75" customHeight="1" thickBot="1">
      <c r="B203" s="243"/>
      <c r="C203" s="243"/>
      <c r="D203" s="243"/>
      <c r="E203" s="243"/>
      <c r="F203" s="243"/>
      <c r="G203" s="243"/>
      <c r="H203" s="243"/>
      <c r="I203" s="243"/>
      <c r="J203" s="243"/>
      <c r="K203" s="243"/>
      <c r="L203" s="243"/>
      <c r="M203" s="243"/>
      <c r="N203" s="243"/>
      <c r="O203" s="253"/>
      <c r="P203" s="253"/>
    </row>
    <row r="204" spans="1:29" ht="3.75" customHeight="1">
      <c r="A204" s="254"/>
      <c r="B204" s="254"/>
      <c r="C204" s="254"/>
      <c r="D204" s="254"/>
      <c r="E204" s="254"/>
      <c r="F204" s="254"/>
      <c r="G204" s="254"/>
      <c r="H204" s="254"/>
      <c r="I204" s="254"/>
      <c r="J204" s="254"/>
      <c r="K204" s="254"/>
      <c r="L204" s="254"/>
      <c r="M204" s="254"/>
      <c r="N204" s="254"/>
      <c r="O204" s="308"/>
      <c r="P204" s="308"/>
    </row>
    <row r="205" spans="1:29">
      <c r="B205" s="250" t="str">
        <f>B$2</f>
        <v>RFA 2022-109 DEVELOPMENT COST PRO FORMA</v>
      </c>
      <c r="O205" s="253"/>
      <c r="P205" s="252" t="str">
        <f>IF($Q$417=1,"(Page 4 of 8)","(Page 4 of 7)")</f>
        <v>(Page 4 of 7)</v>
      </c>
    </row>
    <row r="206" spans="1:29">
      <c r="O206" s="253"/>
      <c r="P206" s="253"/>
      <c r="S206" s="243"/>
    </row>
    <row r="207" spans="1:29">
      <c r="B207" s="250" t="s">
        <v>665</v>
      </c>
      <c r="C207" s="243"/>
      <c r="D207" s="243"/>
      <c r="E207" s="243"/>
      <c r="F207" s="243"/>
      <c r="G207" s="243"/>
      <c r="H207" s="243"/>
      <c r="I207" s="243"/>
      <c r="J207" s="243"/>
      <c r="K207" s="243"/>
      <c r="L207" s="243"/>
      <c r="M207" s="243"/>
      <c r="N207" s="243"/>
      <c r="O207" s="320"/>
      <c r="P207" s="253"/>
    </row>
    <row r="208" spans="1:29" ht="12.75" customHeight="1">
      <c r="B208" s="250"/>
      <c r="C208" s="243"/>
      <c r="D208" s="243"/>
      <c r="E208" s="243"/>
      <c r="F208" s="243"/>
      <c r="G208" s="243"/>
      <c r="H208" s="243"/>
      <c r="I208" s="243"/>
      <c r="J208" s="243"/>
      <c r="K208" s="243"/>
      <c r="L208" s="243"/>
      <c r="M208" s="243"/>
      <c r="N208" s="243"/>
      <c r="O208" s="320"/>
      <c r="P208" s="253"/>
      <c r="S208" s="243"/>
    </row>
    <row r="209" spans="2:19">
      <c r="B209" s="250" t="s">
        <v>666</v>
      </c>
      <c r="C209" s="243"/>
      <c r="D209" s="243"/>
      <c r="E209" s="243"/>
      <c r="F209" s="243"/>
      <c r="G209" s="243"/>
      <c r="H209" s="243"/>
      <c r="I209" s="243"/>
      <c r="J209" s="243"/>
      <c r="K209" s="243"/>
      <c r="L209" s="243"/>
      <c r="M209" s="243"/>
      <c r="N209" s="243"/>
      <c r="O209" s="320"/>
      <c r="P209" s="253"/>
      <c r="S209" s="243"/>
    </row>
    <row r="210" spans="2:19">
      <c r="B210" s="250" t="s">
        <v>667</v>
      </c>
      <c r="C210" s="243"/>
      <c r="D210" s="243"/>
      <c r="E210" s="243"/>
      <c r="F210" s="243"/>
      <c r="G210" s="243"/>
      <c r="H210" s="243"/>
      <c r="I210" s="243"/>
      <c r="J210" s="243"/>
      <c r="K210" s="243"/>
      <c r="L210" s="243"/>
      <c r="M210" s="243"/>
      <c r="N210" s="243"/>
      <c r="O210" s="320"/>
      <c r="P210" s="253"/>
    </row>
    <row r="211" spans="2:19">
      <c r="B211" s="243"/>
      <c r="C211" s="243"/>
      <c r="D211" s="243"/>
      <c r="E211" s="243"/>
      <c r="F211" s="243"/>
      <c r="G211" s="243"/>
      <c r="H211" s="243"/>
      <c r="I211" s="243"/>
      <c r="J211" s="243"/>
      <c r="K211" s="243"/>
      <c r="L211" s="243"/>
      <c r="M211" s="243"/>
      <c r="N211" s="243"/>
      <c r="O211" s="320"/>
      <c r="P211" s="253"/>
    </row>
    <row r="212" spans="2:19">
      <c r="B212" s="250" t="s">
        <v>586</v>
      </c>
      <c r="C212" s="243"/>
      <c r="D212" s="243"/>
      <c r="E212" s="243"/>
      <c r="F212" s="243"/>
      <c r="G212" s="243"/>
      <c r="H212" s="243"/>
      <c r="I212" s="243"/>
      <c r="J212" s="243"/>
      <c r="K212" s="243"/>
      <c r="L212" s="243"/>
      <c r="M212" s="243"/>
      <c r="N212" s="243"/>
      <c r="O212" s="320"/>
      <c r="P212" s="253"/>
    </row>
    <row r="213" spans="2:19">
      <c r="B213" s="243"/>
      <c r="C213" s="243"/>
      <c r="D213" s="243"/>
      <c r="E213" s="243"/>
      <c r="F213" s="243"/>
      <c r="G213" s="243"/>
      <c r="H213" s="243"/>
      <c r="I213" s="243"/>
      <c r="J213" s="243"/>
      <c r="K213" s="243"/>
      <c r="L213" s="243"/>
      <c r="M213" s="243"/>
      <c r="N213" s="243"/>
      <c r="O213" s="320"/>
      <c r="P213" s="253"/>
    </row>
    <row r="214" spans="2:19">
      <c r="C214" s="314" t="s">
        <v>668</v>
      </c>
      <c r="D214" s="250"/>
      <c r="E214" s="250"/>
      <c r="F214" s="250"/>
      <c r="G214" s="243"/>
      <c r="H214" s="243"/>
      <c r="I214" s="243"/>
      <c r="J214" s="243"/>
      <c r="K214" s="243"/>
      <c r="L214" s="243"/>
      <c r="M214" s="243"/>
      <c r="N214" s="243"/>
      <c r="O214" s="320"/>
      <c r="P214" s="253"/>
    </row>
    <row r="215" spans="2:19">
      <c r="C215" s="323" t="s">
        <v>669</v>
      </c>
      <c r="D215" s="243"/>
      <c r="E215" s="243"/>
      <c r="F215" s="243"/>
      <c r="G215" s="243"/>
      <c r="H215" s="243"/>
      <c r="I215" s="243"/>
      <c r="J215" s="243"/>
      <c r="K215" s="243"/>
      <c r="L215" s="243"/>
      <c r="M215" s="243"/>
      <c r="N215" s="243"/>
      <c r="O215" s="320"/>
      <c r="P215" s="253"/>
    </row>
    <row r="216" spans="2:19">
      <c r="C216" s="300"/>
      <c r="D216" s="243"/>
      <c r="E216" s="243"/>
      <c r="F216" s="243"/>
      <c r="G216" s="243"/>
      <c r="H216" s="243"/>
      <c r="I216" s="243"/>
      <c r="J216" s="243"/>
      <c r="K216" s="243"/>
      <c r="L216" s="243"/>
      <c r="M216" s="243"/>
      <c r="N216" s="243"/>
      <c r="O216" s="320"/>
      <c r="P216" s="253"/>
    </row>
    <row r="217" spans="2:19">
      <c r="D217" s="243" t="s">
        <v>670</v>
      </c>
      <c r="E217" s="243"/>
      <c r="F217" s="2155"/>
      <c r="G217" s="2178"/>
      <c r="H217" s="2178"/>
      <c r="I217" s="2178"/>
      <c r="J217" s="2178"/>
      <c r="K217" s="2178"/>
      <c r="L217" s="2178"/>
      <c r="M217" s="2178"/>
      <c r="N217" s="2178"/>
      <c r="O217" s="2179"/>
      <c r="P217" s="255" t="str">
        <f>IF(AND(F217="",N53&lt;&gt;""),"**","")</f>
        <v/>
      </c>
    </row>
    <row r="218" spans="2:19">
      <c r="D218" s="243"/>
      <c r="E218" s="243"/>
      <c r="F218" s="2180"/>
      <c r="G218" s="2181"/>
      <c r="H218" s="2181"/>
      <c r="I218" s="2181"/>
      <c r="J218" s="2181"/>
      <c r="K218" s="2181"/>
      <c r="L218" s="2181"/>
      <c r="M218" s="2181"/>
      <c r="N218" s="2181"/>
      <c r="O218" s="2182"/>
      <c r="P218" s="828"/>
    </row>
    <row r="219" spans="2:19">
      <c r="D219" s="243"/>
      <c r="E219" s="243"/>
      <c r="F219" s="2183"/>
      <c r="G219" s="2184"/>
      <c r="H219" s="2184"/>
      <c r="I219" s="2184"/>
      <c r="J219" s="2184"/>
      <c r="K219" s="2184"/>
      <c r="L219" s="2184"/>
      <c r="M219" s="2184"/>
      <c r="N219" s="2184"/>
      <c r="O219" s="2185"/>
      <c r="P219" s="253"/>
    </row>
    <row r="220" spans="2:19">
      <c r="D220" s="243"/>
      <c r="E220" s="243"/>
      <c r="F220" s="243"/>
      <c r="G220" s="243"/>
      <c r="H220" s="243"/>
      <c r="I220" s="243"/>
      <c r="J220" s="243"/>
      <c r="K220" s="243"/>
      <c r="L220" s="243"/>
      <c r="M220" s="243"/>
      <c r="N220" s="243"/>
      <c r="O220" s="320"/>
      <c r="P220" s="253"/>
    </row>
    <row r="221" spans="2:19">
      <c r="D221" s="243" t="s">
        <v>671</v>
      </c>
      <c r="E221" s="243"/>
      <c r="F221" s="2155"/>
      <c r="G221" s="2178"/>
      <c r="H221" s="2178"/>
      <c r="I221" s="2178"/>
      <c r="J221" s="2178"/>
      <c r="K221" s="2178"/>
      <c r="L221" s="2178"/>
      <c r="M221" s="2178"/>
      <c r="N221" s="2178"/>
      <c r="O221" s="2179"/>
      <c r="P221" s="255" t="str">
        <f>IF(AND(F221="",N63&lt;&gt;""),"**","")</f>
        <v/>
      </c>
    </row>
    <row r="222" spans="2:19">
      <c r="C222" s="243"/>
      <c r="D222" s="243"/>
      <c r="E222" s="243"/>
      <c r="F222" s="2180"/>
      <c r="G222" s="2181"/>
      <c r="H222" s="2181"/>
      <c r="I222" s="2181"/>
      <c r="J222" s="2181"/>
      <c r="K222" s="2181"/>
      <c r="L222" s="2181"/>
      <c r="M222" s="2181"/>
      <c r="N222" s="2181"/>
      <c r="O222" s="2182"/>
      <c r="P222" s="253"/>
    </row>
    <row r="223" spans="2:19">
      <c r="C223" s="243"/>
      <c r="D223" s="243"/>
      <c r="E223" s="243"/>
      <c r="F223" s="2183"/>
      <c r="G223" s="2184"/>
      <c r="H223" s="2184"/>
      <c r="I223" s="2184"/>
      <c r="J223" s="2184"/>
      <c r="K223" s="2184"/>
      <c r="L223" s="2184"/>
      <c r="M223" s="2184"/>
      <c r="N223" s="2184"/>
      <c r="O223" s="2185"/>
      <c r="P223" s="253"/>
    </row>
    <row r="224" spans="2:19">
      <c r="C224" s="243"/>
      <c r="D224" s="243"/>
      <c r="E224" s="243"/>
      <c r="F224" s="243"/>
      <c r="G224" s="243"/>
      <c r="H224" s="243"/>
      <c r="I224" s="243"/>
      <c r="J224" s="243"/>
      <c r="K224" s="243"/>
      <c r="L224" s="243"/>
      <c r="M224" s="243"/>
      <c r="N224" s="243"/>
      <c r="O224" s="320"/>
      <c r="P224" s="253"/>
    </row>
    <row r="225" spans="3:22">
      <c r="C225" s="314" t="s">
        <v>605</v>
      </c>
      <c r="D225" s="250"/>
      <c r="E225" s="250"/>
      <c r="F225" s="250"/>
      <c r="G225" s="243"/>
      <c r="H225" s="243"/>
      <c r="I225" s="243"/>
      <c r="J225" s="243"/>
      <c r="K225" s="243"/>
      <c r="L225" s="243"/>
      <c r="M225" s="243"/>
      <c r="N225" s="243"/>
      <c r="O225" s="320"/>
      <c r="P225" s="253"/>
      <c r="V225" s="247"/>
    </row>
    <row r="226" spans="3:22">
      <c r="C226" s="323" t="s">
        <v>672</v>
      </c>
      <c r="D226" s="243"/>
      <c r="E226" s="243"/>
      <c r="F226" s="243"/>
      <c r="G226" s="243"/>
      <c r="H226" s="243"/>
      <c r="I226" s="243"/>
      <c r="J226" s="243"/>
      <c r="K226" s="243"/>
      <c r="L226" s="243"/>
      <c r="M226" s="243"/>
      <c r="N226" s="243"/>
      <c r="O226" s="320"/>
      <c r="P226" s="253"/>
    </row>
    <row r="227" spans="3:22">
      <c r="C227" s="325"/>
      <c r="D227" s="243"/>
      <c r="E227" s="243"/>
      <c r="F227" s="243"/>
      <c r="G227" s="243"/>
      <c r="H227" s="243"/>
      <c r="I227" s="243"/>
      <c r="J227" s="243"/>
      <c r="K227" s="243"/>
      <c r="L227" s="243"/>
      <c r="M227" s="243"/>
      <c r="N227" s="243"/>
      <c r="O227" s="320"/>
      <c r="P227" s="253"/>
    </row>
    <row r="228" spans="3:22" ht="12.6" customHeight="1">
      <c r="D228" s="243" t="s">
        <v>673</v>
      </c>
      <c r="E228" s="243"/>
      <c r="F228" s="2155"/>
      <c r="G228" s="2156"/>
      <c r="H228" s="2156"/>
      <c r="I228" s="2156"/>
      <c r="J228" s="2156"/>
      <c r="K228" s="2156"/>
      <c r="L228" s="2156"/>
      <c r="M228" s="2156"/>
      <c r="N228" s="2156"/>
      <c r="O228" s="2157"/>
      <c r="P228" s="255" t="str">
        <f>IF(AND(F228="",N110&lt;&gt;""),"**","")</f>
        <v/>
      </c>
    </row>
    <row r="229" spans="3:22">
      <c r="D229" s="243"/>
      <c r="E229" s="243"/>
      <c r="F229" s="2158"/>
      <c r="G229" s="2159"/>
      <c r="H229" s="2159"/>
      <c r="I229" s="2159"/>
      <c r="J229" s="2159"/>
      <c r="K229" s="2159"/>
      <c r="L229" s="2159"/>
      <c r="M229" s="2159"/>
      <c r="N229" s="2159"/>
      <c r="O229" s="2160"/>
      <c r="P229" s="253"/>
    </row>
    <row r="230" spans="3:22">
      <c r="D230" s="243"/>
      <c r="E230" s="243"/>
      <c r="F230" s="2158"/>
      <c r="G230" s="2159"/>
      <c r="H230" s="2159"/>
      <c r="I230" s="2159"/>
      <c r="J230" s="2159"/>
      <c r="K230" s="2159"/>
      <c r="L230" s="2159"/>
      <c r="M230" s="2159"/>
      <c r="N230" s="2159"/>
      <c r="O230" s="2160"/>
      <c r="P230" s="253"/>
    </row>
    <row r="231" spans="3:22">
      <c r="D231" s="243"/>
      <c r="E231" s="243"/>
      <c r="F231" s="2158"/>
      <c r="G231" s="2159"/>
      <c r="H231" s="2159"/>
      <c r="I231" s="2159"/>
      <c r="J231" s="2159"/>
      <c r="K231" s="2159"/>
      <c r="L231" s="2159"/>
      <c r="M231" s="2159"/>
      <c r="N231" s="2159"/>
      <c r="O231" s="2160"/>
      <c r="P231" s="253"/>
    </row>
    <row r="232" spans="3:22">
      <c r="D232" s="243"/>
      <c r="E232" s="243"/>
      <c r="F232" s="2161"/>
      <c r="G232" s="2162"/>
      <c r="H232" s="2162"/>
      <c r="I232" s="2162"/>
      <c r="J232" s="2162"/>
      <c r="K232" s="2162"/>
      <c r="L232" s="2162"/>
      <c r="M232" s="2162"/>
      <c r="N232" s="2162"/>
      <c r="O232" s="2163"/>
      <c r="P232" s="253"/>
    </row>
    <row r="233" spans="3:22">
      <c r="D233" s="243"/>
      <c r="E233" s="243"/>
      <c r="F233" s="243"/>
      <c r="G233" s="243"/>
      <c r="H233" s="243"/>
      <c r="I233" s="243"/>
      <c r="J233" s="243"/>
      <c r="K233" s="243"/>
      <c r="L233" s="243"/>
      <c r="M233" s="243"/>
      <c r="N233" s="243"/>
      <c r="O233" s="320"/>
      <c r="P233" s="253"/>
    </row>
    <row r="234" spans="3:22" ht="12.6" customHeight="1">
      <c r="D234" s="243" t="s">
        <v>671</v>
      </c>
      <c r="E234" s="243"/>
      <c r="F234" s="2155"/>
      <c r="G234" s="2156"/>
      <c r="H234" s="2156"/>
      <c r="I234" s="2156"/>
      <c r="J234" s="2156"/>
      <c r="K234" s="2156"/>
      <c r="L234" s="2156"/>
      <c r="M234" s="2156"/>
      <c r="N234" s="2156"/>
      <c r="O234" s="2157"/>
      <c r="P234" s="255" t="str">
        <f>IF(AND(F234="",N134&lt;&gt;""),"**","")</f>
        <v/>
      </c>
    </row>
    <row r="235" spans="3:22">
      <c r="C235" s="243"/>
      <c r="D235" s="243"/>
      <c r="E235" s="243"/>
      <c r="F235" s="2158"/>
      <c r="G235" s="2159"/>
      <c r="H235" s="2159"/>
      <c r="I235" s="2159"/>
      <c r="J235" s="2159"/>
      <c r="K235" s="2159"/>
      <c r="L235" s="2159"/>
      <c r="M235" s="2159"/>
      <c r="N235" s="2159"/>
      <c r="O235" s="2160"/>
      <c r="P235" s="253"/>
    </row>
    <row r="236" spans="3:22">
      <c r="C236" s="243"/>
      <c r="D236" s="243"/>
      <c r="E236" s="243"/>
      <c r="F236" s="2158"/>
      <c r="G236" s="2159"/>
      <c r="H236" s="2159"/>
      <c r="I236" s="2159"/>
      <c r="J236" s="2159"/>
      <c r="K236" s="2159"/>
      <c r="L236" s="2159"/>
      <c r="M236" s="2159"/>
      <c r="N236" s="2159"/>
      <c r="O236" s="2160"/>
      <c r="P236" s="253"/>
    </row>
    <row r="237" spans="3:22">
      <c r="C237" s="243"/>
      <c r="D237" s="243"/>
      <c r="E237" s="243"/>
      <c r="F237" s="2158"/>
      <c r="G237" s="2159"/>
      <c r="H237" s="2159"/>
      <c r="I237" s="2159"/>
      <c r="J237" s="2159"/>
      <c r="K237" s="2159"/>
      <c r="L237" s="2159"/>
      <c r="M237" s="2159"/>
      <c r="N237" s="2159"/>
      <c r="O237" s="2160"/>
      <c r="P237" s="253"/>
    </row>
    <row r="238" spans="3:22">
      <c r="C238" s="243"/>
      <c r="D238" s="243"/>
      <c r="E238" s="243"/>
      <c r="F238" s="2161"/>
      <c r="G238" s="2162"/>
      <c r="H238" s="2162"/>
      <c r="I238" s="2162"/>
      <c r="J238" s="2162"/>
      <c r="K238" s="2162"/>
      <c r="L238" s="2162"/>
      <c r="M238" s="2162"/>
      <c r="N238" s="2162"/>
      <c r="O238" s="2163"/>
      <c r="P238" s="253"/>
    </row>
    <row r="239" spans="3:22">
      <c r="O239" s="253"/>
      <c r="P239" s="253"/>
    </row>
    <row r="240" spans="3:22">
      <c r="C240" s="314" t="s">
        <v>674</v>
      </c>
      <c r="D240" s="250"/>
      <c r="E240" s="250"/>
      <c r="F240" s="250"/>
      <c r="G240" s="243"/>
      <c r="H240" s="243"/>
      <c r="I240" s="243"/>
      <c r="J240" s="243"/>
      <c r="K240" s="243"/>
      <c r="L240" s="243"/>
      <c r="M240" s="243"/>
      <c r="N240" s="243"/>
      <c r="O240" s="320"/>
      <c r="P240" s="253"/>
    </row>
    <row r="241" spans="1:26">
      <c r="C241" s="323" t="s">
        <v>675</v>
      </c>
      <c r="D241" s="243"/>
      <c r="E241" s="243"/>
      <c r="F241" s="243"/>
      <c r="G241" s="322"/>
      <c r="H241" s="322"/>
      <c r="I241" s="322"/>
      <c r="J241" s="322"/>
      <c r="K241" s="322"/>
      <c r="L241" s="322"/>
      <c r="M241" s="322"/>
      <c r="N241" s="322"/>
      <c r="O241" s="321"/>
      <c r="P241" s="253"/>
    </row>
    <row r="242" spans="1:26">
      <c r="C242" s="300"/>
      <c r="D242" s="243"/>
      <c r="E242" s="243"/>
      <c r="F242" s="243"/>
      <c r="G242" s="322"/>
      <c r="H242" s="322"/>
      <c r="I242" s="322"/>
      <c r="J242" s="322"/>
      <c r="K242" s="322"/>
      <c r="L242" s="322"/>
      <c r="M242" s="322"/>
      <c r="N242" s="322"/>
      <c r="O242" s="321"/>
      <c r="P242" s="253"/>
    </row>
    <row r="243" spans="1:26">
      <c r="D243" s="243" t="s">
        <v>676</v>
      </c>
      <c r="E243" s="243"/>
      <c r="F243" s="2155"/>
      <c r="G243" s="2156"/>
      <c r="H243" s="2156"/>
      <c r="I243" s="2156"/>
      <c r="J243" s="2156"/>
      <c r="K243" s="2156"/>
      <c r="L243" s="2156"/>
      <c r="M243" s="2156"/>
      <c r="N243" s="2156"/>
      <c r="O243" s="2157"/>
      <c r="P243" s="255" t="str">
        <f>IF(AND(F243="",N171&lt;&gt;""),"**","")</f>
        <v/>
      </c>
    </row>
    <row r="244" spans="1:26">
      <c r="D244" s="243"/>
      <c r="E244" s="243"/>
      <c r="F244" s="2158"/>
      <c r="G244" s="2159"/>
      <c r="H244" s="2159"/>
      <c r="I244" s="2159"/>
      <c r="J244" s="2159"/>
      <c r="K244" s="2159"/>
      <c r="L244" s="2159"/>
      <c r="M244" s="2159"/>
      <c r="N244" s="2159"/>
      <c r="O244" s="2160"/>
      <c r="P244" s="253"/>
    </row>
    <row r="245" spans="1:26">
      <c r="D245" s="243"/>
      <c r="E245" s="243"/>
      <c r="F245" s="2161"/>
      <c r="G245" s="2162"/>
      <c r="H245" s="2162"/>
      <c r="I245" s="2162"/>
      <c r="J245" s="2162"/>
      <c r="K245" s="2162"/>
      <c r="L245" s="2162"/>
      <c r="M245" s="2162"/>
      <c r="N245" s="2162"/>
      <c r="O245" s="2163"/>
      <c r="P245" s="253"/>
    </row>
    <row r="246" spans="1:26">
      <c r="C246" s="322"/>
      <c r="D246" s="322"/>
      <c r="E246" s="322"/>
      <c r="F246" s="324"/>
      <c r="G246" s="322"/>
      <c r="H246" s="322"/>
      <c r="I246" s="322"/>
      <c r="J246" s="322"/>
      <c r="K246" s="322"/>
      <c r="L246" s="322"/>
      <c r="M246" s="322"/>
      <c r="N246" s="322"/>
      <c r="O246" s="321"/>
      <c r="P246" s="253"/>
    </row>
    <row r="247" spans="1:26">
      <c r="C247" s="314" t="s">
        <v>677</v>
      </c>
      <c r="D247" s="250"/>
      <c r="E247" s="250"/>
      <c r="F247" s="250"/>
      <c r="G247" s="250"/>
      <c r="H247" s="250"/>
      <c r="I247" s="243"/>
      <c r="J247" s="243"/>
      <c r="K247" s="243"/>
      <c r="L247" s="243"/>
      <c r="M247" s="243"/>
      <c r="N247" s="243"/>
      <c r="O247" s="320"/>
      <c r="P247" s="253"/>
    </row>
    <row r="248" spans="1:26">
      <c r="C248" s="323" t="s">
        <v>678</v>
      </c>
      <c r="D248" s="243"/>
      <c r="E248" s="243"/>
      <c r="F248" s="243"/>
      <c r="G248" s="243"/>
      <c r="H248" s="243"/>
      <c r="I248" s="243"/>
      <c r="J248" s="243"/>
      <c r="K248" s="243"/>
      <c r="L248" s="243"/>
      <c r="M248" s="243"/>
      <c r="N248" s="243"/>
      <c r="O248" s="320"/>
      <c r="P248" s="253"/>
    </row>
    <row r="249" spans="1:26">
      <c r="C249" s="323"/>
      <c r="D249" s="243"/>
      <c r="E249" s="243"/>
      <c r="F249" s="243"/>
      <c r="G249" s="243"/>
      <c r="H249" s="243"/>
      <c r="I249" s="243"/>
      <c r="J249" s="243"/>
      <c r="K249" s="243"/>
      <c r="L249" s="243"/>
      <c r="M249" s="243"/>
      <c r="N249" s="243"/>
      <c r="O249" s="320"/>
      <c r="P249" s="253"/>
    </row>
    <row r="250" spans="1:26">
      <c r="D250" s="243" t="s">
        <v>671</v>
      </c>
      <c r="E250" s="243"/>
      <c r="F250" s="2155"/>
      <c r="G250" s="2156"/>
      <c r="H250" s="2156"/>
      <c r="I250" s="2156"/>
      <c r="J250" s="2156"/>
      <c r="K250" s="2156"/>
      <c r="L250" s="2156"/>
      <c r="M250" s="2156"/>
      <c r="N250" s="2156"/>
      <c r="O250" s="2157"/>
      <c r="P250" s="255" t="str">
        <f>IF(AND(F250="",N179&lt;&gt;""),"**","")</f>
        <v/>
      </c>
    </row>
    <row r="251" spans="1:26">
      <c r="B251" s="243"/>
      <c r="C251" s="243"/>
      <c r="D251" s="243"/>
      <c r="E251" s="243"/>
      <c r="F251" s="2158"/>
      <c r="G251" s="2159"/>
      <c r="H251" s="2159"/>
      <c r="I251" s="2159"/>
      <c r="J251" s="2159"/>
      <c r="K251" s="2159"/>
      <c r="L251" s="2159"/>
      <c r="M251" s="2159"/>
      <c r="N251" s="2159"/>
      <c r="O251" s="2160"/>
      <c r="P251" s="253"/>
    </row>
    <row r="252" spans="1:26">
      <c r="B252" s="243"/>
      <c r="C252" s="243"/>
      <c r="D252" s="243"/>
      <c r="E252" s="243"/>
      <c r="F252" s="2161"/>
      <c r="G252" s="2162"/>
      <c r="H252" s="2162"/>
      <c r="I252" s="2162"/>
      <c r="J252" s="2162"/>
      <c r="K252" s="2162"/>
      <c r="L252" s="2162"/>
      <c r="M252" s="2162"/>
      <c r="N252" s="2162"/>
      <c r="O252" s="2163"/>
      <c r="P252" s="253"/>
    </row>
    <row r="253" spans="1:26">
      <c r="B253" s="322"/>
      <c r="C253" s="322"/>
      <c r="D253" s="322"/>
      <c r="E253" s="322"/>
      <c r="F253" s="322"/>
      <c r="G253" s="322"/>
      <c r="H253" s="322"/>
      <c r="I253" s="322"/>
      <c r="J253" s="322"/>
      <c r="K253" s="322"/>
      <c r="L253" s="322"/>
      <c r="M253" s="322"/>
      <c r="N253" s="322"/>
      <c r="O253" s="321"/>
      <c r="P253" s="253"/>
    </row>
    <row r="254" spans="1:26" ht="3.75" customHeight="1" thickBot="1">
      <c r="O254" s="253"/>
      <c r="P254" s="253"/>
    </row>
    <row r="255" spans="1:26" ht="3.75" customHeight="1">
      <c r="A255" s="254"/>
      <c r="B255" s="254"/>
      <c r="C255" s="254"/>
      <c r="D255" s="254"/>
      <c r="E255" s="254"/>
      <c r="F255" s="254"/>
      <c r="G255" s="254"/>
      <c r="H255" s="254"/>
      <c r="I255" s="254"/>
      <c r="J255" s="254"/>
      <c r="K255" s="254"/>
      <c r="L255" s="254"/>
      <c r="M255" s="254"/>
      <c r="N255" s="254"/>
      <c r="O255" s="308"/>
      <c r="P255" s="308"/>
      <c r="Q255" s="2132" t="s">
        <v>839</v>
      </c>
      <c r="R255" s="2133"/>
      <c r="S255" s="2133"/>
      <c r="T255" s="2133"/>
      <c r="U255" s="2133"/>
      <c r="V255" s="2133"/>
      <c r="W255" s="2133"/>
      <c r="X255" s="2133"/>
      <c r="Y255" s="2133"/>
      <c r="Z255" s="2134"/>
    </row>
    <row r="256" spans="1:26" ht="13.5" customHeight="1">
      <c r="A256" s="637"/>
      <c r="B256" s="975" t="str">
        <f>B$2</f>
        <v>RFA 2022-109 DEVELOPMENT COST PRO FORMA</v>
      </c>
      <c r="C256" s="637"/>
      <c r="D256" s="637"/>
      <c r="E256" s="637"/>
      <c r="F256" s="637"/>
      <c r="G256" s="637"/>
      <c r="H256" s="637"/>
      <c r="I256" s="637"/>
      <c r="J256" s="637"/>
      <c r="K256" s="637"/>
      <c r="L256" s="637"/>
      <c r="M256" s="637"/>
      <c r="N256" s="637"/>
      <c r="O256" s="786"/>
      <c r="P256" s="252" t="str">
        <f>IF($Q$417=1,"(Page 5 of 8)","(Page 5 of 7)")</f>
        <v>(Page 5 of 7)</v>
      </c>
      <c r="Q256" s="2135"/>
      <c r="R256" s="2136"/>
      <c r="S256" s="2136"/>
      <c r="T256" s="2136"/>
      <c r="U256" s="2136"/>
      <c r="V256" s="2136"/>
      <c r="W256" s="2136"/>
      <c r="X256" s="2136"/>
      <c r="Y256" s="2136"/>
      <c r="Z256" s="2137"/>
    </row>
    <row r="257" spans="2:35">
      <c r="O257" s="253"/>
      <c r="P257" s="253"/>
      <c r="Q257" s="2135"/>
      <c r="R257" s="2136"/>
      <c r="S257" s="2136"/>
      <c r="T257" s="2136"/>
      <c r="U257" s="2136"/>
      <c r="V257" s="2136"/>
      <c r="W257" s="2136"/>
      <c r="X257" s="2136"/>
      <c r="Y257" s="2136"/>
      <c r="Z257" s="2137"/>
    </row>
    <row r="258" spans="2:35" ht="13.8" thickBot="1">
      <c r="O258" s="253"/>
      <c r="P258" s="253"/>
      <c r="Q258" s="2138"/>
      <c r="R258" s="2139"/>
      <c r="S258" s="2139"/>
      <c r="T258" s="2139"/>
      <c r="U258" s="2139"/>
      <c r="V258" s="2139"/>
      <c r="W258" s="2139"/>
      <c r="X258" s="2139"/>
      <c r="Y258" s="2139"/>
      <c r="Z258" s="2140"/>
    </row>
    <row r="259" spans="2:35">
      <c r="B259" s="250" t="s">
        <v>679</v>
      </c>
      <c r="C259" s="243"/>
      <c r="D259" s="243"/>
      <c r="E259" s="243"/>
      <c r="F259" s="243"/>
      <c r="G259" s="243"/>
      <c r="H259" s="243"/>
      <c r="I259" s="243"/>
      <c r="J259" s="243"/>
      <c r="K259" s="305"/>
      <c r="L259" s="306"/>
      <c r="M259" s="306"/>
      <c r="O259" s="253"/>
      <c r="P259" s="253"/>
    </row>
    <row r="260" spans="2:35" ht="13.2" customHeight="1">
      <c r="B260" s="250"/>
      <c r="C260" s="243"/>
      <c r="D260" s="243"/>
      <c r="E260" s="243"/>
      <c r="F260" s="243"/>
      <c r="G260" s="243"/>
      <c r="H260" s="305" t="s">
        <v>680</v>
      </c>
      <c r="I260" s="305"/>
      <c r="J260" s="243"/>
      <c r="K260" s="2131" t="s">
        <v>681</v>
      </c>
      <c r="L260" s="2131"/>
      <c r="M260" s="2131"/>
      <c r="N260" s="2131"/>
      <c r="O260" s="253"/>
      <c r="P260" s="319"/>
      <c r="Q260" s="247"/>
      <c r="W260" s="247"/>
      <c r="X260" s="247"/>
      <c r="Y260" s="247"/>
      <c r="Z260" s="247"/>
    </row>
    <row r="261" spans="2:35" ht="13.2" customHeight="1">
      <c r="B261" s="243"/>
      <c r="C261" s="243"/>
      <c r="D261" s="243"/>
      <c r="E261" s="243"/>
      <c r="F261" s="243"/>
      <c r="G261" s="243"/>
      <c r="H261" s="243"/>
      <c r="I261" s="243"/>
      <c r="J261" s="243"/>
      <c r="K261" s="243"/>
      <c r="L261" s="243"/>
      <c r="M261" s="243"/>
      <c r="O261" s="247"/>
      <c r="P261" s="247"/>
      <c r="Q261" s="247"/>
    </row>
    <row r="262" spans="2:35" ht="13.2" customHeight="1">
      <c r="B262" s="279" t="s">
        <v>682</v>
      </c>
      <c r="C262" s="250" t="s">
        <v>683</v>
      </c>
      <c r="D262" s="243"/>
      <c r="E262" s="243"/>
      <c r="F262" s="243"/>
      <c r="G262" s="279" t="s">
        <v>599</v>
      </c>
      <c r="H262" s="978" t="str">
        <f>IF(N201="","",N201)</f>
        <v/>
      </c>
      <c r="I262" s="243"/>
      <c r="J262" s="277"/>
      <c r="O262" s="247"/>
      <c r="P262" s="247"/>
      <c r="Q262" s="247"/>
      <c r="AA262" s="244"/>
      <c r="AB262" s="244"/>
    </row>
    <row r="263" spans="2:35" ht="13.2" customHeight="1">
      <c r="B263" s="243"/>
      <c r="C263" s="243"/>
      <c r="D263" s="243"/>
      <c r="E263" s="243"/>
      <c r="F263" s="243"/>
      <c r="G263" s="243"/>
      <c r="H263" s="312"/>
      <c r="I263" s="243"/>
      <c r="J263" s="277"/>
      <c r="K263" s="277"/>
      <c r="L263" s="277"/>
      <c r="M263" s="277"/>
      <c r="O263" s="247"/>
      <c r="P263" s="247"/>
      <c r="Q263" s="247"/>
      <c r="AD263" s="247"/>
      <c r="AE263" s="247"/>
      <c r="AF263" s="247"/>
      <c r="AG263" s="247"/>
      <c r="AH263" s="247"/>
      <c r="AI263" s="247"/>
    </row>
    <row r="264" spans="2:35" ht="13.2" customHeight="1">
      <c r="B264" s="279" t="s">
        <v>651</v>
      </c>
      <c r="C264" s="250" t="s">
        <v>684</v>
      </c>
      <c r="D264" s="243"/>
      <c r="E264" s="243"/>
      <c r="F264" s="243"/>
      <c r="G264" s="243"/>
      <c r="H264" s="312"/>
      <c r="I264" s="243"/>
      <c r="J264" s="277"/>
      <c r="K264" s="277"/>
      <c r="L264" s="277"/>
      <c r="M264" s="277"/>
      <c r="O264" s="247"/>
      <c r="P264" s="247"/>
      <c r="Q264" s="318" t="s">
        <v>838</v>
      </c>
      <c r="AA264" s="243"/>
      <c r="AB264" s="243"/>
      <c r="AD264" s="247"/>
      <c r="AE264" s="247"/>
      <c r="AF264" s="247"/>
      <c r="AG264" s="247"/>
      <c r="AH264" s="247"/>
      <c r="AI264" s="247"/>
    </row>
    <row r="265" spans="2:35" ht="13.2" customHeight="1">
      <c r="B265" s="243"/>
      <c r="C265" s="243"/>
      <c r="D265" s="243"/>
      <c r="E265" s="243"/>
      <c r="F265" s="243"/>
      <c r="G265" s="241"/>
      <c r="H265" s="312"/>
      <c r="I265" s="243"/>
      <c r="J265" s="277"/>
      <c r="K265" s="277"/>
      <c r="L265" s="277"/>
      <c r="M265" s="277"/>
      <c r="O265" s="247"/>
      <c r="P265" s="247"/>
      <c r="Q265" s="247"/>
      <c r="R265" s="1037"/>
      <c r="S265" s="1037"/>
      <c r="T265" s="1037"/>
      <c r="U265" s="1037"/>
      <c r="V265" s="1037"/>
      <c r="W265" s="1037"/>
      <c r="AA265" s="243"/>
      <c r="AB265" s="243"/>
      <c r="AD265" s="247"/>
      <c r="AE265" s="247"/>
      <c r="AF265" s="247"/>
      <c r="AG265" s="247"/>
      <c r="AH265" s="247"/>
      <c r="AI265" s="247"/>
    </row>
    <row r="266" spans="2:35" ht="13.2" customHeight="1">
      <c r="B266" s="288">
        <f>MAX(B$265:B265)+1</f>
        <v>1</v>
      </c>
      <c r="C266" s="243" t="s">
        <v>685</v>
      </c>
      <c r="D266" s="243"/>
      <c r="E266" s="243"/>
      <c r="F266" s="243"/>
      <c r="G266" s="241" t="s">
        <v>599</v>
      </c>
      <c r="H266" s="287"/>
      <c r="I266" s="243"/>
      <c r="J266" s="277"/>
      <c r="K266" s="2128" t="s">
        <v>195</v>
      </c>
      <c r="L266" s="2128"/>
      <c r="M266" s="2128"/>
      <c r="N266" s="2128"/>
      <c r="O266" s="247"/>
      <c r="P266" s="762" t="str">
        <f>IF(OR(AND(Funding!K127=1,ConstrAnalysis__1st_Type&lt;&gt;"FHFC - MMRB",ConstrAnalysis__1st_Type&lt;&gt;"Local HFA Bonds"),AND(Funding!K185=1,ConstrAnalysis__1st_Type="FHFC - MMRB",ConstrAnalysis__1st_Mtg&lt;&gt;MMRB_Request_Amount)),"**","")</f>
        <v/>
      </c>
      <c r="Q266" s="284">
        <f>IF(N(K$39)=0,0,N(H266)/K$39)</f>
        <v>0</v>
      </c>
      <c r="R266" s="2141" t="str">
        <f>IF(AND(Funding!K127=1,ConstrAnalysis__1st_Type&lt;&gt;"FHFC - MMRB",ConstrAnalysis__1st_Type&lt;&gt;"Local HFA Bonds"),"The Applicant indicates a Non-Competetive Housing Credit Request amount. Please designate the First Mortgage Financing as FHFC - MMRB or Local HFA Bonds as applicable.",IF(AND(Funding!K185=1,ConstrAnalysis__1st_Type="FHFC - MMRB",ConstrAnalysis__1st_Mtg&lt;&gt;MMRB_Request_Amount),"Pro Forma FHFC - MMRB amount does not match Corporation-Issued MMRB Loan Request Amount on the Funding Tab.", ""))</f>
        <v/>
      </c>
      <c r="S266" s="2141"/>
      <c r="T266" s="2141"/>
      <c r="U266" s="2141"/>
      <c r="V266" s="2141"/>
      <c r="W266" s="2141"/>
      <c r="AA266" s="243"/>
      <c r="AB266" s="243"/>
      <c r="AD266" s="247"/>
      <c r="AE266" s="247"/>
      <c r="AF266" s="247"/>
      <c r="AG266" s="247"/>
      <c r="AH266" s="247"/>
      <c r="AI266" s="247"/>
    </row>
    <row r="267" spans="2:35" ht="13.2" customHeight="1">
      <c r="B267" s="317"/>
      <c r="C267" s="243"/>
      <c r="D267" s="243"/>
      <c r="E267" s="243"/>
      <c r="F267" s="243"/>
      <c r="G267" s="241"/>
      <c r="H267" s="312"/>
      <c r="I267" s="243"/>
      <c r="J267" s="277"/>
      <c r="K267" s="277"/>
      <c r="L267" s="277"/>
      <c r="M267" s="277"/>
      <c r="O267" s="247"/>
      <c r="P267" s="247"/>
      <c r="Q267" s="247"/>
      <c r="R267" s="2142"/>
      <c r="S267" s="2142"/>
      <c r="T267" s="2142"/>
      <c r="U267" s="2142"/>
      <c r="V267" s="2142"/>
      <c r="W267" s="2142"/>
      <c r="AA267" s="316"/>
      <c r="AB267" s="316"/>
      <c r="AD267" s="247"/>
      <c r="AE267" s="247"/>
      <c r="AF267" s="247"/>
      <c r="AG267" s="247"/>
      <c r="AH267" s="247"/>
      <c r="AI267" s="247"/>
    </row>
    <row r="268" spans="2:35" ht="13.2" customHeight="1">
      <c r="B268" s="288">
        <f>MAX(B$265:B267)+1</f>
        <v>2</v>
      </c>
      <c r="C268" s="243" t="s">
        <v>686</v>
      </c>
      <c r="D268" s="243"/>
      <c r="E268" s="243"/>
      <c r="F268" s="243"/>
      <c r="G268" s="241" t="s">
        <v>599</v>
      </c>
      <c r="H268" s="287"/>
      <c r="I268" s="243"/>
      <c r="J268" s="277"/>
      <c r="K268" s="2128" t="s">
        <v>195</v>
      </c>
      <c r="L268" s="2128"/>
      <c r="M268" s="2128"/>
      <c r="N268" s="2128"/>
      <c r="O268" s="247"/>
      <c r="P268" s="247"/>
      <c r="Q268" s="284">
        <f>IF(N(K$39)=0,0,N(H268)/K$39)</f>
        <v>0</v>
      </c>
      <c r="R268" s="2143"/>
      <c r="S268" s="2143"/>
      <c r="T268" s="2143"/>
      <c r="U268" s="2143"/>
      <c r="V268" s="2143"/>
      <c r="W268" s="2143"/>
      <c r="X268" s="243"/>
      <c r="Y268" s="243"/>
      <c r="Z268" s="243"/>
      <c r="AA268" s="315"/>
      <c r="AB268" s="315"/>
      <c r="AD268" s="247"/>
      <c r="AE268" s="247"/>
      <c r="AF268" s="247"/>
      <c r="AG268" s="247"/>
      <c r="AH268" s="247"/>
      <c r="AI268" s="247"/>
    </row>
    <row r="269" spans="2:35" ht="13.2" customHeight="1">
      <c r="B269" s="243"/>
      <c r="C269" s="243"/>
      <c r="D269" s="243"/>
      <c r="E269" s="243"/>
      <c r="F269" s="243"/>
      <c r="G269" s="241"/>
      <c r="H269" s="312"/>
      <c r="I269" s="243"/>
      <c r="J269" s="277"/>
      <c r="K269" s="277"/>
      <c r="L269" s="277"/>
      <c r="M269" s="277"/>
      <c r="O269" s="247"/>
      <c r="P269" s="247"/>
      <c r="Q269" s="247"/>
      <c r="R269" s="243"/>
      <c r="S269" s="243"/>
      <c r="T269" s="243"/>
      <c r="U269" s="243"/>
      <c r="V269" s="243"/>
      <c r="W269" s="243"/>
      <c r="X269" s="243"/>
      <c r="Y269" s="243"/>
      <c r="Z269" s="243"/>
      <c r="AA269" s="315"/>
      <c r="AB269" s="315"/>
      <c r="AD269" s="247"/>
      <c r="AE269" s="247"/>
      <c r="AF269" s="247"/>
      <c r="AG269" s="247"/>
      <c r="AH269" s="247"/>
      <c r="AI269" s="247"/>
    </row>
    <row r="270" spans="2:35" ht="13.2" customHeight="1">
      <c r="B270" s="288">
        <f>MAX(B$265:B269)+1</f>
        <v>3</v>
      </c>
      <c r="C270" s="243" t="s">
        <v>687</v>
      </c>
      <c r="D270" s="243"/>
      <c r="E270" s="243"/>
      <c r="F270" s="243"/>
      <c r="G270" s="241" t="s">
        <v>599</v>
      </c>
      <c r="H270" s="287"/>
      <c r="I270" s="243"/>
      <c r="J270" s="277"/>
      <c r="K270" s="2128" t="s">
        <v>195</v>
      </c>
      <c r="L270" s="2128"/>
      <c r="M270" s="2128"/>
      <c r="N270" s="2128"/>
      <c r="O270" s="247"/>
      <c r="P270" s="247"/>
      <c r="Q270" s="284">
        <f>IF(N(K$39)=0,0,N(H270)/K$39)</f>
        <v>0</v>
      </c>
      <c r="R270" s="314"/>
      <c r="S270" s="243"/>
      <c r="T270" s="243"/>
      <c r="U270" s="313"/>
      <c r="V270" s="313"/>
      <c r="W270" s="313"/>
      <c r="X270" s="243"/>
      <c r="Y270" s="243"/>
      <c r="Z270" s="243"/>
      <c r="AA270" s="243"/>
      <c r="AB270" s="243"/>
      <c r="AD270" s="247"/>
      <c r="AE270" s="247"/>
      <c r="AF270" s="247"/>
      <c r="AG270" s="247"/>
      <c r="AH270" s="247"/>
      <c r="AI270" s="247"/>
    </row>
    <row r="271" spans="2:35" ht="13.2" customHeight="1">
      <c r="B271" s="243"/>
      <c r="C271" s="243"/>
      <c r="D271" s="243"/>
      <c r="E271" s="243"/>
      <c r="F271" s="243"/>
      <c r="G271" s="241"/>
      <c r="H271" s="312"/>
      <c r="I271" s="243"/>
      <c r="J271" s="277"/>
      <c r="K271" s="277"/>
      <c r="L271" s="277"/>
      <c r="M271" s="277"/>
      <c r="O271" s="247"/>
      <c r="P271" s="247"/>
      <c r="Q271" s="247"/>
      <c r="R271" s="1089"/>
      <c r="S271" s="1089"/>
      <c r="T271" s="1089"/>
      <c r="U271" s="296"/>
      <c r="V271" s="313"/>
      <c r="W271" s="313"/>
      <c r="X271" s="243"/>
      <c r="Y271" s="243"/>
      <c r="Z271" s="243"/>
      <c r="AA271" s="243"/>
      <c r="AB271" s="243"/>
      <c r="AC271" s="247"/>
      <c r="AD271" s="247"/>
      <c r="AE271" s="247"/>
      <c r="AF271" s="247"/>
      <c r="AG271" s="247"/>
      <c r="AH271" s="247"/>
      <c r="AI271" s="247"/>
    </row>
    <row r="272" spans="2:35" ht="13.2" customHeight="1">
      <c r="B272" s="288">
        <f>MAX(B$265:B271)+1</f>
        <v>4</v>
      </c>
      <c r="C272" s="243" t="s">
        <v>688</v>
      </c>
      <c r="D272" s="243"/>
      <c r="E272" s="243"/>
      <c r="F272" s="243"/>
      <c r="G272" s="241" t="s">
        <v>599</v>
      </c>
      <c r="H272" s="287"/>
      <c r="I272" s="243"/>
      <c r="J272" s="277"/>
      <c r="K272" s="2128" t="s">
        <v>195</v>
      </c>
      <c r="L272" s="2128"/>
      <c r="M272" s="2128"/>
      <c r="N272" s="2128"/>
      <c r="O272" s="247"/>
      <c r="P272" s="247"/>
      <c r="Q272" s="284">
        <f>IF(N(K$39)=0,0,N(H272)/K$39)</f>
        <v>0</v>
      </c>
      <c r="R272" s="1088"/>
      <c r="S272" s="1088"/>
      <c r="T272" s="1088"/>
      <c r="U272" s="1088"/>
      <c r="V272" s="1088"/>
      <c r="W272" s="1088"/>
      <c r="X272" s="1088"/>
      <c r="Y272" s="1088"/>
      <c r="Z272" s="1088"/>
      <c r="AA272" s="1088"/>
      <c r="AB272" s="1088"/>
      <c r="AC272" s="247"/>
      <c r="AD272" s="247"/>
      <c r="AE272" s="247"/>
      <c r="AF272" s="247"/>
      <c r="AG272" s="247"/>
      <c r="AH272" s="247"/>
      <c r="AI272" s="247"/>
    </row>
    <row r="273" spans="2:35" ht="13.2" customHeight="1">
      <c r="B273" s="243"/>
      <c r="C273" s="243"/>
      <c r="D273" s="243"/>
      <c r="E273" s="243"/>
      <c r="F273" s="243"/>
      <c r="G273" s="241"/>
      <c r="H273" s="312"/>
      <c r="I273" s="243"/>
      <c r="J273" s="277"/>
      <c r="K273" s="277"/>
      <c r="L273" s="277"/>
      <c r="M273" s="277"/>
      <c r="O273" s="247"/>
      <c r="P273" s="247"/>
      <c r="Q273" s="247"/>
      <c r="R273" s="243"/>
      <c r="S273" s="243"/>
      <c r="T273" s="243"/>
      <c r="U273" s="243"/>
      <c r="V273" s="243"/>
      <c r="W273" s="243"/>
      <c r="X273" s="243"/>
      <c r="Y273" s="243"/>
      <c r="Z273" s="243"/>
      <c r="AA273" s="243"/>
      <c r="AB273" s="243"/>
      <c r="AC273" s="247"/>
      <c r="AD273" s="247"/>
      <c r="AE273" s="247"/>
      <c r="AF273" s="247"/>
      <c r="AG273" s="247"/>
      <c r="AH273" s="247"/>
      <c r="AI273" s="247"/>
    </row>
    <row r="274" spans="2:35" ht="13.2" customHeight="1">
      <c r="B274" s="288">
        <f>MAX(B$265:B273)+1</f>
        <v>5</v>
      </c>
      <c r="C274" s="243" t="s">
        <v>689</v>
      </c>
      <c r="D274" s="243"/>
      <c r="E274" s="243"/>
      <c r="F274" s="243"/>
      <c r="G274" s="241" t="s">
        <v>599</v>
      </c>
      <c r="H274" s="287"/>
      <c r="I274" s="243"/>
      <c r="J274" s="277"/>
      <c r="K274" s="2128" t="s">
        <v>195</v>
      </c>
      <c r="L274" s="2128"/>
      <c r="M274" s="2128"/>
      <c r="N274" s="2128"/>
      <c r="O274" s="247"/>
      <c r="P274" s="247"/>
      <c r="Q274" s="284">
        <f>IF(N(K$39)=0,0,N(H274)/K$39)</f>
        <v>0</v>
      </c>
      <c r="R274" s="313"/>
      <c r="S274" s="313"/>
      <c r="T274" s="313"/>
      <c r="U274" s="313"/>
      <c r="V274" s="313"/>
      <c r="W274" s="313"/>
      <c r="X274" s="313"/>
      <c r="Y274" s="313"/>
      <c r="Z274" s="313"/>
      <c r="AA274" s="313"/>
      <c r="AB274" s="313"/>
      <c r="AC274" s="247"/>
      <c r="AD274" s="247"/>
      <c r="AE274" s="247"/>
      <c r="AF274" s="247"/>
      <c r="AG274" s="247"/>
      <c r="AH274" s="247"/>
      <c r="AI274" s="247"/>
    </row>
    <row r="275" spans="2:35" ht="13.2" customHeight="1">
      <c r="B275" s="243"/>
      <c r="C275" s="243"/>
      <c r="D275" s="243"/>
      <c r="E275" s="243"/>
      <c r="F275" s="243"/>
      <c r="G275" s="241"/>
      <c r="H275" s="312"/>
      <c r="I275" s="243"/>
      <c r="J275" s="277"/>
      <c r="K275" s="277"/>
      <c r="L275" s="277"/>
      <c r="M275" s="277"/>
      <c r="O275" s="247"/>
      <c r="P275" s="247"/>
      <c r="Q275" s="247"/>
      <c r="X275" s="247"/>
      <c r="Y275" s="247"/>
      <c r="Z275" s="247"/>
      <c r="AA275" s="247"/>
      <c r="AB275" s="247"/>
      <c r="AC275" s="247"/>
      <c r="AD275" s="247"/>
      <c r="AE275" s="247"/>
      <c r="AF275" s="247"/>
      <c r="AG275" s="247"/>
      <c r="AH275" s="247"/>
      <c r="AI275" s="247"/>
    </row>
    <row r="276" spans="2:35" ht="13.2" customHeight="1">
      <c r="B276" s="288">
        <f>MAX(B$265:B275)+1</f>
        <v>6</v>
      </c>
      <c r="C276" s="236" t="s">
        <v>690</v>
      </c>
      <c r="G276" s="241" t="s">
        <v>599</v>
      </c>
      <c r="H276" s="287"/>
      <c r="I276" s="243"/>
      <c r="J276" s="242"/>
      <c r="K276" s="2128" t="s">
        <v>195</v>
      </c>
      <c r="L276" s="2128"/>
      <c r="M276" s="2128"/>
      <c r="N276" s="2128"/>
      <c r="O276" s="247"/>
      <c r="P276" s="247"/>
      <c r="Q276" s="284">
        <f>IF(N(K$39)=0,0,N(H276)/K$39)</f>
        <v>0</v>
      </c>
      <c r="X276" s="247"/>
      <c r="Y276" s="247"/>
      <c r="Z276" s="247"/>
      <c r="AA276" s="247"/>
      <c r="AB276" s="247"/>
      <c r="AC276" s="247"/>
      <c r="AD276" s="247"/>
      <c r="AE276" s="247"/>
      <c r="AF276" s="247"/>
      <c r="AG276" s="247"/>
      <c r="AH276" s="247"/>
      <c r="AI276" s="247"/>
    </row>
    <row r="277" spans="2:35" ht="13.2" customHeight="1">
      <c r="B277" s="243"/>
      <c r="C277" s="243"/>
      <c r="D277" s="243"/>
      <c r="E277" s="243"/>
      <c r="F277" s="243"/>
      <c r="G277" s="241"/>
      <c r="H277" s="312"/>
      <c r="I277" s="243"/>
      <c r="J277" s="277"/>
      <c r="K277" s="277"/>
      <c r="L277" s="277"/>
      <c r="M277" s="277"/>
      <c r="O277" s="247"/>
      <c r="P277" s="247"/>
      <c r="Q277" s="247"/>
      <c r="R277" s="247"/>
      <c r="S277" s="247"/>
      <c r="T277" s="247"/>
      <c r="U277" s="247"/>
      <c r="V277" s="247"/>
      <c r="W277" s="247"/>
      <c r="X277" s="247"/>
      <c r="Y277" s="247"/>
      <c r="Z277" s="247"/>
      <c r="AA277" s="247"/>
      <c r="AB277" s="247"/>
      <c r="AC277" s="247"/>
      <c r="AD277" s="247"/>
      <c r="AE277" s="247"/>
      <c r="AF277" s="247"/>
      <c r="AG277" s="247"/>
      <c r="AH277" s="247"/>
      <c r="AI277" s="247"/>
    </row>
    <row r="278" spans="2:35" ht="13.2" customHeight="1">
      <c r="B278" s="288" t="str">
        <f>IF(DS_FHFC_Source_1_Name="","",MAX(B$265:B277)+1)</f>
        <v/>
      </c>
      <c r="C278" s="243" t="str">
        <f>IF(DS_FHFC_Source_1_Name="","",DS_FHFC_Source_1_Name)&amp;" Financing"</f>
        <v xml:space="preserve"> Financing</v>
      </c>
      <c r="D278" s="243"/>
      <c r="E278" s="243"/>
      <c r="F278" s="243"/>
      <c r="G278" s="241" t="s">
        <v>599</v>
      </c>
      <c r="H278" s="1472" t="str">
        <f>IF(DS_FHFC_Source_1_Name="","",MIN(N(DS_FHFC_Source_1_Amt),N(DS_FHFC_Source_1_Max_Amt)))</f>
        <v/>
      </c>
      <c r="I278" s="1473"/>
      <c r="J278" s="1474"/>
      <c r="K278" s="2112" t="str">
        <f>DS_FHFC_Source_1_Label</f>
        <v>Enter request on Funding Tab</v>
      </c>
      <c r="L278" s="2112"/>
      <c r="M278" s="2112"/>
      <c r="N278" s="2112"/>
      <c r="O278" s="247"/>
      <c r="P278" s="247"/>
      <c r="Q278" s="284">
        <f>IF(N(K$39)=0,0,N(H278)/K$39)</f>
        <v>0</v>
      </c>
      <c r="R278" s="247" t="str">
        <f>IF(OR(AND(ConstrAnalysis__7th_Type="FHFC - Workforce",ConstrAnalysis__7th_Mtg&gt;Max_Workforce),AND(ConstrAnalysis__7th_Type="FHFC - SAIL",ConstrAnalysis__7th_Mtg&gt;Max_SAIL),AND(ConstrAnalysis__7th_Type="FHFC - SAIL ELI",ConstrAnalysis__7th_Mtg&gt;Funding!$H$40),AND(ConstrAnalysis__7th_Type="FHFC - HOME",ConstrAnalysis__7th_Mtg&gt;Funding!$H$57),AND(ConstrAnalysis__7th_Type="FHFC - Grant",ConstrAnalysis__7th_Mtg&gt;Funding!$H$76),AND(ConstrAnalysis__7th_Type="FHFC - TBD",ConstrAnalysis__7th_Mtg&gt;Funding!$H$102)),"The Request Amount is greater than the maximum allowed.","")</f>
        <v/>
      </c>
      <c r="S278" s="247"/>
      <c r="T278" s="247"/>
      <c r="U278" s="247"/>
      <c r="V278" s="247"/>
      <c r="W278" s="247"/>
      <c r="X278" s="247"/>
      <c r="Y278" s="247"/>
      <c r="Z278" s="247"/>
      <c r="AA278" s="247"/>
      <c r="AB278" s="247"/>
      <c r="AC278" s="247"/>
      <c r="AD278" s="247"/>
      <c r="AE278" s="247"/>
      <c r="AF278" s="247"/>
      <c r="AG278" s="247"/>
      <c r="AH278" s="247"/>
      <c r="AI278" s="247"/>
    </row>
    <row r="279" spans="2:35" ht="13.2" customHeight="1">
      <c r="B279" s="243"/>
      <c r="C279" s="243"/>
      <c r="D279" s="243"/>
      <c r="E279" s="243"/>
      <c r="F279" s="243"/>
      <c r="G279" s="241"/>
      <c r="H279" s="1475"/>
      <c r="I279" s="1473"/>
      <c r="J279" s="1474"/>
      <c r="K279" s="1474"/>
      <c r="L279" s="1474"/>
      <c r="M279" s="1474"/>
      <c r="N279" s="1476"/>
      <c r="O279" s="247"/>
      <c r="P279" s="247"/>
      <c r="Q279" s="247"/>
      <c r="R279" s="247"/>
      <c r="S279" s="247"/>
      <c r="T279" s="247"/>
      <c r="U279" s="247"/>
      <c r="V279" s="247"/>
      <c r="W279" s="247"/>
      <c r="X279" s="247"/>
      <c r="Y279" s="247"/>
      <c r="Z279" s="247"/>
      <c r="AA279" s="247"/>
      <c r="AB279" s="247"/>
      <c r="AC279" s="247"/>
      <c r="AD279" s="247"/>
      <c r="AE279" s="247"/>
      <c r="AF279" s="247"/>
      <c r="AG279" s="247"/>
      <c r="AH279" s="247"/>
      <c r="AI279" s="247"/>
    </row>
    <row r="280" spans="2:35" ht="13.2" customHeight="1">
      <c r="B280" s="288" t="str">
        <f>IF(DS_FHFC_Source_2_Name="","",MAX(B$265:B279)+1)</f>
        <v/>
      </c>
      <c r="C280" s="243" t="str">
        <f>IF(DS_FHFC_Source_2_Name="","",DS_FHFC_Source_2_Name)&amp;" Financing"</f>
        <v xml:space="preserve"> Financing</v>
      </c>
      <c r="D280" s="243"/>
      <c r="E280" s="243"/>
      <c r="F280" s="243"/>
      <c r="G280" s="241" t="s">
        <v>599</v>
      </c>
      <c r="H280" s="1472" t="str">
        <f>IF(DS_FHFC_Source_2_Name="","",MIN(N(DS_FHFC_Source_2_Amt),N(DS_FHFC_Source_2_Max_Amt)))</f>
        <v/>
      </c>
      <c r="I280" s="1473"/>
      <c r="J280" s="1474"/>
      <c r="K280" s="2112" t="str">
        <f>DS_FHFC_Source_2_Label</f>
        <v>Enter request on Funding Tab</v>
      </c>
      <c r="L280" s="2112"/>
      <c r="M280" s="2112"/>
      <c r="N280" s="2112"/>
      <c r="O280" s="247"/>
      <c r="P280" s="247"/>
      <c r="Q280" s="284">
        <f>IF(N(K$39)=0,0,N(H280)/K$39)</f>
        <v>0</v>
      </c>
      <c r="R280" s="247" t="str">
        <f>IF(OR(AND(ConstrAnalysis__8th_Type="FHFC - Workforce",ConstrAnalysis__8th_Mtg&gt;Max_Workforce),AND(ConstrAnalysis__8th_Type="FHFC - SAIL",ConstrAnalysis__8th_Mtg&gt;Max_SAIL),AND(ConstrAnalysis__8th_Type="FHFC - SAIL ELI",ConstrAnalysis__8th_Mtg&gt;Funding!$H$40),AND(ConstrAnalysis__8th_Type="FHFC - HOME",ConstrAnalysis__8th_Mtg&gt;Funding!$H$57),AND(ConstrAnalysis__8th_Type="FHFC - Grant",ConstrAnalysis__8th_Mtg&gt;Funding!$H$76),AND(ConstrAnalysis__8th_Type="FHFC - TBD",ConstrAnalysis__8th_Mtg&gt;Funding!$H$102)),"The Request Amount is greater than the maximum allowed.","")</f>
        <v/>
      </c>
      <c r="S280" s="247"/>
      <c r="T280" s="247"/>
      <c r="U280" s="247"/>
      <c r="V280" s="247"/>
      <c r="W280" s="247"/>
      <c r="X280" s="247"/>
      <c r="Y280" s="247"/>
      <c r="Z280" s="247"/>
      <c r="AA280" s="247"/>
      <c r="AB280" s="247"/>
      <c r="AC280" s="247"/>
      <c r="AD280" s="247"/>
      <c r="AE280" s="247"/>
      <c r="AF280" s="247"/>
      <c r="AG280" s="247"/>
      <c r="AH280" s="247"/>
      <c r="AI280" s="247"/>
    </row>
    <row r="281" spans="2:35" ht="13.2" customHeight="1">
      <c r="B281" s="243"/>
      <c r="C281" s="243"/>
      <c r="D281" s="243"/>
      <c r="E281" s="243"/>
      <c r="F281" s="243"/>
      <c r="G281" s="241"/>
      <c r="H281" s="1475"/>
      <c r="I281" s="1473"/>
      <c r="J281" s="1474"/>
      <c r="K281" s="1474"/>
      <c r="L281" s="1474"/>
      <c r="M281" s="1474"/>
      <c r="N281" s="1476"/>
      <c r="O281" s="247"/>
      <c r="P281" s="247"/>
      <c r="Q281" s="247"/>
      <c r="S281" s="247"/>
      <c r="T281" s="247"/>
      <c r="U281" s="247"/>
      <c r="V281" s="247"/>
      <c r="W281" s="247"/>
      <c r="X281" s="247"/>
      <c r="Y281" s="247"/>
      <c r="Z281" s="247"/>
      <c r="AA281" s="247"/>
      <c r="AB281" s="247"/>
      <c r="AC281" s="247"/>
      <c r="AD281" s="247"/>
      <c r="AE281" s="247"/>
      <c r="AF281" s="247"/>
      <c r="AG281" s="247"/>
      <c r="AH281" s="247"/>
      <c r="AI281" s="247"/>
    </row>
    <row r="282" spans="2:35" ht="13.2" customHeight="1">
      <c r="B282" s="288" t="str">
        <f>IF(DS_FHFC_Source_3_Name="","",MAX(B$265:B281)+1)</f>
        <v/>
      </c>
      <c r="C282" s="243" t="str">
        <f>IF(DS_FHFC_Source_3_Name="","",DS_FHFC_Source_3_Name)&amp;" Financing"</f>
        <v xml:space="preserve"> Financing</v>
      </c>
      <c r="D282" s="243"/>
      <c r="E282" s="243"/>
      <c r="F282" s="243"/>
      <c r="G282" s="241" t="s">
        <v>599</v>
      </c>
      <c r="H282" s="1472" t="str">
        <f>IF(DS_FHFC_Source_3_Name="","",MIN(N(DS_FHFC_Source_3_Amt),N(DS_FHFC_Source_3_Max_Amt)))</f>
        <v/>
      </c>
      <c r="I282" s="1473"/>
      <c r="J282" s="1474"/>
      <c r="K282" s="2112" t="str">
        <f>DS_FHFC_Source_3_Label</f>
        <v>Enter request on Funding Tab</v>
      </c>
      <c r="L282" s="2112"/>
      <c r="M282" s="2112"/>
      <c r="N282" s="2112"/>
      <c r="O282" s="247"/>
      <c r="P282" s="247"/>
      <c r="Q282" s="284">
        <f>IF(N(K$39)=0,0,N(H282)/K$39)</f>
        <v>0</v>
      </c>
      <c r="R282" s="247" t="str">
        <f>IF(OR(AND(ConstrAnalysis__9th_Type="FHFC - Workforce",ConstrAnalysis__9th_Mtg&gt;Max_Workforce),AND(ConstrAnalysis__9th_Type="FHFC - SAIL",ConstrAnalysis__9th_Mtg&gt;Max_SAIL),AND(ConstrAnalysis__9th_Type="FHFC - SAIL ELI",ConstrAnalysis__9th_Mtg&gt;Funding!$H$40),AND(ConstrAnalysis__9th_Type="FHFC - HOME",ConstrAnalysis__9th_Mtg&gt;Funding!$H$57),AND(ConstrAnalysis__9th_Type="FHFC - Grant",ConstrAnalysis__9th_Mtg&gt;Funding!$H$76),AND(ConstrAnalysis__9th_Type="FHFC - TBD",ConstrAnalysis__9th_Mtg&gt;Funding!$H$102)),"The Request Amount is greater than the maximum allowed.","")</f>
        <v/>
      </c>
      <c r="S282" s="247"/>
      <c r="T282" s="247"/>
      <c r="U282" s="247"/>
      <c r="V282" s="247"/>
      <c r="W282" s="247"/>
      <c r="X282" s="247"/>
      <c r="Y282" s="247"/>
      <c r="Z282" s="247"/>
      <c r="AA282" s="247"/>
      <c r="AB282" s="247"/>
      <c r="AC282" s="247"/>
      <c r="AD282" s="247"/>
      <c r="AE282" s="247"/>
      <c r="AF282" s="247"/>
      <c r="AG282" s="247"/>
      <c r="AH282" s="247"/>
      <c r="AI282" s="247"/>
    </row>
    <row r="283" spans="2:35" ht="13.2" customHeight="1">
      <c r="B283" s="243"/>
      <c r="C283" s="243"/>
      <c r="D283" s="243"/>
      <c r="E283" s="243"/>
      <c r="F283" s="243"/>
      <c r="G283" s="241"/>
      <c r="H283" s="1475"/>
      <c r="I283" s="1473"/>
      <c r="J283" s="1474"/>
      <c r="K283" s="1474"/>
      <c r="L283" s="1474"/>
      <c r="M283" s="1474"/>
      <c r="N283" s="1476"/>
      <c r="O283" s="247"/>
      <c r="P283" s="247"/>
      <c r="Q283" s="247"/>
      <c r="S283" s="247"/>
      <c r="T283" s="247"/>
      <c r="U283" s="247"/>
      <c r="V283" s="247"/>
      <c r="W283" s="247"/>
      <c r="X283" s="247"/>
      <c r="Y283" s="247"/>
      <c r="Z283" s="247"/>
      <c r="AA283" s="247"/>
      <c r="AB283" s="247"/>
      <c r="AC283" s="247"/>
      <c r="AD283" s="247"/>
      <c r="AE283" s="247"/>
      <c r="AF283" s="247"/>
      <c r="AG283" s="247"/>
      <c r="AH283" s="247"/>
      <c r="AI283" s="247"/>
    </row>
    <row r="284" spans="2:35" ht="13.2" hidden="1" customHeight="1">
      <c r="B284" s="1580" t="str">
        <f>IF(DS_FHFC_Source_4_Name="","",MAX(B$265:B283)+1)</f>
        <v/>
      </c>
      <c r="C284" s="1581" t="str">
        <f>IF(DS_FHFC_Source_4_Name="","",DS_FHFC_Source_4_Name)&amp;" Financing"</f>
        <v xml:space="preserve"> Financing</v>
      </c>
      <c r="D284" s="1581"/>
      <c r="E284" s="1581"/>
      <c r="F284" s="1581"/>
      <c r="G284" s="1582" t="s">
        <v>599</v>
      </c>
      <c r="H284" s="1583" t="str">
        <f>IF(DS_FHFC_Source_4_Name="","",MIN(N(DS_FHFC_Source_4_Amt),N(DS_FHFC_Source_4_Max_Amt)))</f>
        <v/>
      </c>
      <c r="I284" s="1584"/>
      <c r="J284" s="1585"/>
      <c r="K284" s="2129" t="str">
        <f>DS_FHFC_Source_4_Label</f>
        <v>Enter request on Funding Tab</v>
      </c>
      <c r="L284" s="2129"/>
      <c r="M284" s="2129"/>
      <c r="N284" s="2129"/>
      <c r="O284" s="1586"/>
      <c r="P284" s="1586"/>
      <c r="Q284" s="1587">
        <f>IF(N(K$39)=0,0,N(H284)/K$39)</f>
        <v>0</v>
      </c>
      <c r="R284" s="247" t="str">
        <f>IF(OR(AND(ConstrAnalysis_10th_Type="FHFC - Workforce",ConstrAnalysis_10th_Mtg&gt;Max_Workforce),AND(ConstrAnalysis_10th_Type="FHFC - SAIL",ConstrAnalysis_10th_Mtg&gt;Max_SAIL),AND(ConstrAnalysis_10th_Type="FHFC - SAIL ELI",ConstrAnalysis_10th_Mtg&gt;Funding!$H$40),AND(ConstrAnalysis_10th_Type="FHFC - HOME",ConstrAnalysis_10th_Mtg&gt;Funding!$H$57),AND(ConstrAnalysis_10th_Type="FHFC - Grant",ConstrAnalysis_10th_Mtg&gt;Funding!$H$76),AND(ConstrAnalysis_10th_Type="FHFC - TBD",ConstrAnalysis_10th_Mtg&gt;Funding!$H$102)),"The Request Amount is greater than the maximum allowed.","")</f>
        <v/>
      </c>
      <c r="S284" s="247"/>
      <c r="T284" s="247"/>
      <c r="U284" s="247"/>
      <c r="V284" s="247"/>
      <c r="W284" s="247"/>
      <c r="X284" s="247"/>
      <c r="Y284" s="247"/>
      <c r="Z284" s="247"/>
      <c r="AA284" s="247"/>
      <c r="AB284" s="247"/>
      <c r="AC284" s="247"/>
      <c r="AD284" s="247"/>
      <c r="AE284" s="247"/>
      <c r="AF284" s="247"/>
      <c r="AG284" s="247"/>
      <c r="AH284" s="247"/>
      <c r="AI284" s="247"/>
    </row>
    <row r="285" spans="2:35" ht="13.2" hidden="1" customHeight="1">
      <c r="B285" s="1581"/>
      <c r="C285" s="1581"/>
      <c r="D285" s="1581"/>
      <c r="E285" s="1581"/>
      <c r="F285" s="1581"/>
      <c r="G285" s="1582"/>
      <c r="H285" s="1588"/>
      <c r="I285" s="1581"/>
      <c r="J285" s="1589"/>
      <c r="K285" s="1589"/>
      <c r="L285" s="1589"/>
      <c r="M285" s="1589"/>
      <c r="N285" s="1590"/>
      <c r="O285" s="1586"/>
      <c r="P285" s="1586"/>
      <c r="Q285" s="1586"/>
      <c r="R285" s="247"/>
      <c r="S285" s="247"/>
      <c r="T285" s="247"/>
      <c r="U285" s="247"/>
      <c r="V285" s="247"/>
      <c r="W285" s="247"/>
      <c r="X285" s="247"/>
      <c r="Y285" s="247"/>
      <c r="Z285" s="247"/>
      <c r="AA285" s="247"/>
      <c r="AB285" s="247"/>
      <c r="AC285" s="247"/>
      <c r="AD285" s="247"/>
      <c r="AE285" s="247"/>
      <c r="AF285" s="247"/>
      <c r="AG285" s="247"/>
      <c r="AH285" s="247"/>
      <c r="AI285" s="247"/>
    </row>
    <row r="286" spans="2:35" ht="13.2" hidden="1" customHeight="1">
      <c r="B286" s="288"/>
      <c r="C286" s="243" t="s">
        <v>691</v>
      </c>
      <c r="D286" s="243"/>
      <c r="E286" s="243"/>
      <c r="F286" s="243"/>
      <c r="G286" s="243"/>
      <c r="H286" s="312"/>
      <c r="I286" s="243"/>
      <c r="J286" s="277"/>
      <c r="K286" s="277"/>
      <c r="L286" s="277"/>
      <c r="M286" s="243"/>
      <c r="O286" s="247"/>
      <c r="P286" s="247"/>
      <c r="Q286" s="247"/>
      <c r="R286" s="247"/>
      <c r="S286" s="247"/>
      <c r="T286" s="247"/>
      <c r="U286" s="247"/>
      <c r="V286" s="247"/>
      <c r="W286" s="247"/>
      <c r="X286" s="247"/>
      <c r="Y286" s="247"/>
      <c r="Z286" s="247"/>
      <c r="AA286" s="247"/>
      <c r="AB286" s="247"/>
      <c r="AC286" s="247"/>
      <c r="AD286" s="247"/>
      <c r="AE286" s="247"/>
      <c r="AF286" s="247"/>
      <c r="AG286" s="247"/>
      <c r="AH286" s="247"/>
      <c r="AI286" s="247"/>
    </row>
    <row r="287" spans="2:35" ht="13.2" hidden="1" customHeight="1">
      <c r="B287" s="243"/>
      <c r="C287" s="243" t="s">
        <v>692</v>
      </c>
      <c r="D287" s="243"/>
      <c r="E287" s="243"/>
      <c r="F287" s="243"/>
      <c r="G287" s="243"/>
      <c r="H287" s="312"/>
      <c r="I287" s="243"/>
      <c r="J287" s="277"/>
      <c r="K287" s="277"/>
      <c r="L287" s="277"/>
      <c r="M287" s="243"/>
      <c r="O287" s="247"/>
      <c r="P287" s="247"/>
      <c r="Q287" s="247"/>
      <c r="R287" s="247"/>
      <c r="S287" s="247"/>
      <c r="T287" s="247"/>
      <c r="U287" s="247"/>
      <c r="V287" s="247"/>
      <c r="W287" s="247"/>
      <c r="X287" s="247"/>
      <c r="Y287" s="247"/>
      <c r="Z287" s="247"/>
      <c r="AA287" s="247"/>
      <c r="AB287" s="247"/>
      <c r="AC287" s="247"/>
      <c r="AD287" s="247"/>
      <c r="AE287" s="247"/>
      <c r="AF287" s="247"/>
      <c r="AG287" s="247"/>
      <c r="AH287" s="247"/>
      <c r="AI287" s="247"/>
    </row>
    <row r="288" spans="2:35" ht="13.2" hidden="1" customHeight="1">
      <c r="B288" s="243"/>
      <c r="C288" s="243" t="s">
        <v>693</v>
      </c>
      <c r="D288" s="243"/>
      <c r="E288" s="243"/>
      <c r="F288" s="243"/>
      <c r="G288" s="243"/>
      <c r="H288" s="281"/>
      <c r="I288" s="243"/>
      <c r="J288" s="243"/>
      <c r="K288" s="243"/>
      <c r="L288" s="243"/>
      <c r="M288" s="243"/>
      <c r="O288" s="253"/>
      <c r="P288" s="253"/>
      <c r="S288" s="247"/>
      <c r="T288" s="247"/>
      <c r="U288" s="247"/>
      <c r="V288" s="247"/>
      <c r="W288" s="247"/>
      <c r="X288" s="247"/>
      <c r="Y288" s="247"/>
      <c r="Z288" s="247"/>
      <c r="AA288" s="247"/>
      <c r="AB288" s="247"/>
      <c r="AC288" s="247"/>
      <c r="AD288" s="247"/>
      <c r="AE288" s="247"/>
      <c r="AF288" s="247"/>
      <c r="AG288" s="247"/>
      <c r="AH288" s="247"/>
      <c r="AI288" s="247"/>
    </row>
    <row r="289" spans="2:35" ht="13.2" hidden="1" customHeight="1">
      <c r="B289" s="243"/>
      <c r="C289" s="243" t="s">
        <v>694</v>
      </c>
      <c r="D289" s="243"/>
      <c r="E289" s="243"/>
      <c r="F289" s="243"/>
      <c r="G289" s="241"/>
      <c r="H289" s="289"/>
      <c r="I289" s="243"/>
      <c r="J289" s="242"/>
      <c r="K289" s="292"/>
      <c r="L289" s="291"/>
      <c r="M289" s="243"/>
      <c r="O289" s="253"/>
      <c r="P289" s="253"/>
      <c r="S289" s="247"/>
      <c r="T289" s="247"/>
      <c r="U289" s="247"/>
      <c r="V289" s="247"/>
      <c r="W289" s="247"/>
      <c r="X289" s="247"/>
      <c r="Y289" s="247"/>
      <c r="Z289" s="247"/>
      <c r="AA289" s="247"/>
      <c r="AB289" s="247"/>
      <c r="AC289" s="247"/>
      <c r="AD289" s="247"/>
      <c r="AE289" s="247"/>
      <c r="AF289" s="247"/>
      <c r="AG289" s="247"/>
      <c r="AH289" s="247"/>
      <c r="AI289" s="247"/>
    </row>
    <row r="290" spans="2:35" ht="13.2" hidden="1" customHeight="1">
      <c r="B290" s="243"/>
      <c r="C290" s="243" t="s">
        <v>695</v>
      </c>
      <c r="D290" s="243"/>
      <c r="E290" s="243"/>
      <c r="F290" s="243"/>
      <c r="G290" s="241"/>
      <c r="H290" s="289"/>
      <c r="I290" s="243"/>
      <c r="J290" s="242"/>
      <c r="K290" s="292"/>
      <c r="L290" s="291"/>
      <c r="M290" s="243"/>
      <c r="O290" s="253"/>
      <c r="P290" s="253"/>
      <c r="S290" s="247"/>
      <c r="T290" s="247"/>
      <c r="U290" s="247"/>
      <c r="V290" s="247"/>
      <c r="W290" s="247"/>
      <c r="X290" s="247"/>
      <c r="Y290" s="247"/>
      <c r="Z290" s="247"/>
      <c r="AA290" s="247"/>
      <c r="AB290" s="247"/>
      <c r="AC290" s="247"/>
      <c r="AD290" s="247"/>
      <c r="AE290" s="247"/>
      <c r="AF290" s="247"/>
      <c r="AG290" s="247"/>
      <c r="AH290" s="247"/>
      <c r="AI290" s="247"/>
    </row>
    <row r="291" spans="2:35" ht="13.2" hidden="1" customHeight="1">
      <c r="B291" s="243"/>
      <c r="C291" s="243" t="s">
        <v>696</v>
      </c>
      <c r="D291" s="243"/>
      <c r="E291" s="243"/>
      <c r="F291" s="243"/>
      <c r="G291" s="241"/>
      <c r="H291" s="289"/>
      <c r="I291" s="243"/>
      <c r="J291" s="242"/>
      <c r="K291" s="292"/>
      <c r="L291" s="291"/>
      <c r="M291" s="243"/>
      <c r="O291" s="253"/>
      <c r="P291" s="253"/>
      <c r="S291" s="247"/>
      <c r="T291" s="247"/>
      <c r="U291" s="247"/>
      <c r="V291" s="247"/>
      <c r="W291" s="247"/>
      <c r="X291" s="247"/>
      <c r="Y291" s="247"/>
      <c r="Z291" s="247"/>
      <c r="AA291" s="247"/>
      <c r="AB291" s="247"/>
      <c r="AC291" s="247"/>
      <c r="AD291" s="247"/>
      <c r="AE291" s="247"/>
      <c r="AF291" s="247"/>
      <c r="AG291" s="247"/>
      <c r="AH291" s="247"/>
      <c r="AI291" s="247"/>
    </row>
    <row r="292" spans="2:35" ht="13.2" hidden="1" customHeight="1">
      <c r="B292" s="243"/>
      <c r="C292" s="243" t="s">
        <v>697</v>
      </c>
      <c r="D292" s="243"/>
      <c r="E292" s="243"/>
      <c r="F292" s="243"/>
      <c r="G292" s="241" t="s">
        <v>599</v>
      </c>
      <c r="H292" s="287"/>
      <c r="I292" s="243"/>
      <c r="J292" s="242"/>
      <c r="K292" s="292"/>
      <c r="L292" s="291"/>
      <c r="M292" s="243"/>
      <c r="O292" s="253"/>
      <c r="P292" s="1081" t="str">
        <f>IF(AND(OR(Competitive_HC_Request_Amount&gt;0,Non_Competitive_HC_Request_Amount&gt;0),ConstrAnalysis_HC=0),"**","")</f>
        <v/>
      </c>
      <c r="Q292" s="284">
        <f>IF(N(K$39)=0,0,N(H292)/K$39)</f>
        <v>0</v>
      </c>
      <c r="R292" s="2126" t="s">
        <v>1563</v>
      </c>
      <c r="S292" s="2126"/>
      <c r="T292" s="2126"/>
      <c r="U292" s="2126"/>
      <c r="V292" s="2126"/>
      <c r="W292" s="2126"/>
      <c r="X292" s="1085"/>
      <c r="Y292" s="247"/>
      <c r="Z292" s="247"/>
      <c r="AA292" s="247"/>
      <c r="AB292" s="247"/>
      <c r="AC292" s="247"/>
      <c r="AD292" s="247"/>
      <c r="AE292" s="247"/>
      <c r="AF292" s="247"/>
      <c r="AG292" s="247"/>
      <c r="AH292" s="247"/>
      <c r="AI292" s="247"/>
    </row>
    <row r="293" spans="2:35" ht="13.2" hidden="1" customHeight="1">
      <c r="B293" s="243"/>
      <c r="C293" s="243"/>
      <c r="D293" s="243"/>
      <c r="E293" s="243"/>
      <c r="F293" s="243"/>
      <c r="G293" s="243"/>
      <c r="H293" s="289"/>
      <c r="I293" s="243"/>
      <c r="J293" s="242"/>
      <c r="K293" s="292"/>
      <c r="L293" s="291"/>
      <c r="M293" s="243"/>
      <c r="O293" s="253"/>
      <c r="P293" s="253"/>
      <c r="R293" s="2127"/>
      <c r="S293" s="2127"/>
      <c r="T293" s="2127"/>
      <c r="U293" s="2127"/>
      <c r="V293" s="2127"/>
      <c r="W293" s="2127"/>
      <c r="X293" s="1085"/>
      <c r="Y293" s="247"/>
      <c r="Z293" s="247"/>
      <c r="AA293" s="247"/>
      <c r="AB293" s="247"/>
      <c r="AC293" s="247"/>
      <c r="AD293" s="247"/>
      <c r="AE293" s="247"/>
      <c r="AF293" s="247"/>
      <c r="AG293" s="247"/>
      <c r="AH293" s="247"/>
      <c r="AI293" s="247"/>
    </row>
    <row r="294" spans="2:35" ht="13.2" customHeight="1">
      <c r="B294" s="288">
        <f>MAX(B$265:B293)+1</f>
        <v>7</v>
      </c>
      <c r="C294" s="293" t="s">
        <v>676</v>
      </c>
      <c r="D294" s="243"/>
      <c r="E294" s="2119"/>
      <c r="F294" s="2119"/>
      <c r="G294" s="241" t="s">
        <v>599</v>
      </c>
      <c r="H294" s="287"/>
      <c r="I294" s="243"/>
      <c r="J294" s="242"/>
      <c r="K294" s="2128" t="s">
        <v>195</v>
      </c>
      <c r="L294" s="2128"/>
      <c r="M294" s="2128"/>
      <c r="N294" s="2128"/>
      <c r="O294" s="253"/>
      <c r="P294" s="253"/>
      <c r="Q294" s="284">
        <f>IF(N(K$39)=0,0,N(H294)/K$39)</f>
        <v>0</v>
      </c>
      <c r="R294" s="247"/>
      <c r="S294" s="247"/>
      <c r="T294" s="247"/>
      <c r="U294" s="247"/>
      <c r="V294" s="247"/>
      <c r="W294" s="247"/>
      <c r="X294" s="247"/>
      <c r="Y294" s="247"/>
      <c r="Z294" s="247"/>
      <c r="AA294" s="247"/>
      <c r="AB294" s="247"/>
      <c r="AC294" s="247"/>
      <c r="AD294" s="247"/>
      <c r="AE294" s="247"/>
      <c r="AF294" s="247"/>
      <c r="AG294" s="247"/>
      <c r="AH294" s="247"/>
      <c r="AI294" s="247"/>
    </row>
    <row r="295" spans="2:35" ht="13.2" customHeight="1">
      <c r="H295" s="282"/>
      <c r="J295" s="242"/>
      <c r="K295" s="292"/>
      <c r="L295" s="291"/>
      <c r="M295" s="243"/>
      <c r="O295" s="253"/>
      <c r="P295" s="253"/>
      <c r="R295" s="247"/>
      <c r="S295" s="247"/>
      <c r="T295" s="247"/>
      <c r="U295" s="247"/>
      <c r="V295" s="247"/>
      <c r="W295" s="247"/>
      <c r="X295" s="247"/>
      <c r="Y295" s="247"/>
      <c r="Z295" s="247"/>
      <c r="AA295" s="247"/>
      <c r="AB295" s="247"/>
      <c r="AC295" s="247"/>
      <c r="AD295" s="247"/>
      <c r="AE295" s="247"/>
      <c r="AF295" s="247"/>
      <c r="AG295" s="247"/>
      <c r="AH295" s="247"/>
      <c r="AI295" s="247"/>
    </row>
    <row r="296" spans="2:35" ht="13.2" customHeight="1">
      <c r="B296" s="288">
        <f>MAX(B$265:B295)+1</f>
        <v>8</v>
      </c>
      <c r="C296" s="243" t="s">
        <v>676</v>
      </c>
      <c r="D296" s="243"/>
      <c r="E296" s="2119"/>
      <c r="F296" s="2119"/>
      <c r="G296" s="241" t="s">
        <v>599</v>
      </c>
      <c r="H296" s="287"/>
      <c r="I296" s="243"/>
      <c r="J296" s="242"/>
      <c r="K296" s="2128" t="s">
        <v>195</v>
      </c>
      <c r="L296" s="2128"/>
      <c r="M296" s="2128"/>
      <c r="N296" s="2128"/>
      <c r="O296" s="253"/>
      <c r="P296" s="253"/>
      <c r="Q296" s="284">
        <f>IF(N(K$39)=0,0,N(H296)/K$39)</f>
        <v>0</v>
      </c>
      <c r="S296" s="247"/>
      <c r="T296" s="247"/>
      <c r="U296" s="247"/>
      <c r="V296" s="247"/>
      <c r="W296" s="247"/>
      <c r="X296" s="247"/>
      <c r="Y296" s="247"/>
      <c r="Z296" s="247"/>
      <c r="AA296" s="247"/>
      <c r="AB296" s="247"/>
      <c r="AC296" s="247"/>
      <c r="AD296" s="247"/>
      <c r="AE296" s="247"/>
      <c r="AF296" s="247"/>
      <c r="AG296" s="247"/>
      <c r="AH296" s="247"/>
      <c r="AI296" s="247"/>
    </row>
    <row r="297" spans="2:35" ht="13.2" customHeight="1">
      <c r="B297" s="283"/>
      <c r="C297" s="243"/>
      <c r="D297" s="243"/>
      <c r="E297" s="290"/>
      <c r="F297" s="290"/>
      <c r="G297" s="241"/>
      <c r="H297" s="295"/>
      <c r="I297" s="243"/>
      <c r="J297" s="242"/>
      <c r="K297" s="292"/>
      <c r="L297" s="291"/>
      <c r="M297" s="243"/>
      <c r="O297" s="253"/>
      <c r="P297" s="253"/>
      <c r="S297" s="247"/>
      <c r="T297" s="247"/>
      <c r="U297" s="247"/>
      <c r="V297" s="247"/>
      <c r="W297" s="247"/>
      <c r="X297" s="247"/>
      <c r="Y297" s="247"/>
      <c r="Z297" s="247"/>
      <c r="AA297" s="247"/>
      <c r="AB297" s="247"/>
      <c r="AC297" s="247"/>
      <c r="AD297" s="247"/>
      <c r="AE297" s="247"/>
      <c r="AF297" s="247"/>
      <c r="AG297" s="247"/>
      <c r="AH297" s="247"/>
      <c r="AI297" s="247"/>
    </row>
    <row r="298" spans="2:35" ht="13.2" customHeight="1">
      <c r="B298" s="288">
        <f>MAX(B$265:B297)+1</f>
        <v>9</v>
      </c>
      <c r="C298" s="243" t="s">
        <v>698</v>
      </c>
      <c r="D298" s="243"/>
      <c r="E298" s="243"/>
      <c r="F298" s="243"/>
      <c r="G298" s="241" t="s">
        <v>599</v>
      </c>
      <c r="H298" s="888"/>
      <c r="I298" s="243"/>
      <c r="J298" s="242"/>
      <c r="K298" s="292"/>
      <c r="L298" s="291"/>
      <c r="M298" s="243"/>
      <c r="O298" s="253"/>
      <c r="P298" s="253"/>
      <c r="Q298" s="284">
        <f>IF(N(K$39)=0,0,N(H298)/K$39)</f>
        <v>0</v>
      </c>
      <c r="R298" s="2130" t="str">
        <f>IF(ConstrAnalysis_deferredfee&gt;Developer_fee_total,"The Deferred Developer Fee is greater than than the Total Developer Fee.","")</f>
        <v/>
      </c>
      <c r="S298" s="2130"/>
      <c r="T298" s="2130"/>
      <c r="U298" s="2130"/>
      <c r="V298" s="2130"/>
      <c r="W298" s="1087"/>
      <c r="X298" s="736"/>
      <c r="Y298" s="247"/>
      <c r="Z298" s="247"/>
      <c r="AA298" s="247"/>
      <c r="AB298" s="247"/>
      <c r="AC298" s="247"/>
      <c r="AD298" s="247"/>
      <c r="AE298" s="247"/>
      <c r="AF298" s="247"/>
      <c r="AG298" s="247"/>
      <c r="AH298" s="247"/>
      <c r="AI298" s="247"/>
    </row>
    <row r="299" spans="2:35" ht="13.2" customHeight="1">
      <c r="H299" s="282"/>
      <c r="J299" s="242"/>
      <c r="K299" s="292"/>
      <c r="L299" s="291"/>
      <c r="M299" s="243"/>
      <c r="O299" s="253"/>
      <c r="P299" s="253"/>
      <c r="S299" s="247"/>
      <c r="T299" s="247"/>
      <c r="U299" s="247"/>
      <c r="V299" s="247"/>
      <c r="W299" s="247"/>
      <c r="X299" s="247"/>
      <c r="Y299" s="247"/>
      <c r="Z299" s="247"/>
      <c r="AA299" s="247"/>
      <c r="AB299" s="247"/>
      <c r="AC299" s="247"/>
      <c r="AD299" s="247"/>
      <c r="AE299" s="247"/>
      <c r="AF299" s="247"/>
      <c r="AG299" s="247"/>
      <c r="AH299" s="247"/>
      <c r="AI299" s="247"/>
    </row>
    <row r="300" spans="2:35" ht="13.2" customHeight="1" thickBot="1">
      <c r="B300" s="285">
        <f>MAX(B$265:B299)+1</f>
        <v>10</v>
      </c>
      <c r="C300" s="250" t="s">
        <v>699</v>
      </c>
      <c r="D300" s="243"/>
      <c r="E300" s="243"/>
      <c r="F300" s="243"/>
      <c r="G300" s="241" t="s">
        <v>599</v>
      </c>
      <c r="H300" s="278" t="str">
        <f>IF(SUM(H265:H299)&lt;1,"",SUM(H265:H299))</f>
        <v/>
      </c>
      <c r="J300" s="243"/>
      <c r="K300" s="277"/>
      <c r="L300" s="243"/>
      <c r="M300" s="243"/>
      <c r="O300" s="253"/>
      <c r="P300" s="253"/>
      <c r="Q300" s="284">
        <f>IF(N(K$39)=0,0,N(H300)/K$39)</f>
        <v>0</v>
      </c>
      <c r="S300" s="247"/>
      <c r="T300" s="247"/>
      <c r="U300" s="247"/>
      <c r="V300" s="247"/>
      <c r="W300" s="247"/>
      <c r="X300" s="247"/>
      <c r="Y300" s="247"/>
      <c r="Z300" s="247"/>
      <c r="AA300" s="247"/>
      <c r="AB300" s="247"/>
      <c r="AC300" s="247"/>
      <c r="AD300" s="247"/>
      <c r="AE300" s="247"/>
      <c r="AF300" s="247"/>
      <c r="AG300" s="247"/>
      <c r="AH300" s="247"/>
      <c r="AI300" s="247"/>
    </row>
    <row r="301" spans="2:35" ht="13.2" customHeight="1" thickTop="1">
      <c r="H301" s="282"/>
      <c r="L301" s="243"/>
      <c r="M301" s="243"/>
      <c r="O301" s="253"/>
      <c r="P301" s="253"/>
    </row>
    <row r="302" spans="2:35" ht="13.2" customHeight="1">
      <c r="B302" s="279" t="s">
        <v>653</v>
      </c>
      <c r="C302" s="250" t="s">
        <v>700</v>
      </c>
      <c r="D302" s="250"/>
      <c r="E302" s="250"/>
      <c r="F302" s="250"/>
      <c r="G302" s="243"/>
      <c r="H302" s="281"/>
      <c r="I302" s="243"/>
      <c r="J302" s="277"/>
      <c r="P302" s="253"/>
    </row>
    <row r="303" spans="2:35" ht="13.2" customHeight="1">
      <c r="B303" s="279"/>
      <c r="C303" s="250"/>
      <c r="D303" s="280" t="str">
        <f>"(B."&amp;TEXT(B300,"0")&amp;". "&amp;C300&amp;", "</f>
        <v xml:space="preserve">(B.10. Total Construction Sources, </v>
      </c>
      <c r="E303" s="250"/>
      <c r="F303" s="250"/>
      <c r="G303" s="243"/>
      <c r="H303" s="281"/>
      <c r="I303" s="243"/>
      <c r="J303" s="277"/>
      <c r="P303" s="255" t="str">
        <f>IF(N(H304)&lt;0,"**","")</f>
        <v/>
      </c>
    </row>
    <row r="304" spans="2:35" ht="13.2" customHeight="1" thickBot="1">
      <c r="B304" s="250"/>
      <c r="D304" s="280" t="str">
        <f>" less "&amp;B262&amp;" "&amp;C262&amp;"):"</f>
        <v xml:space="preserve"> less A. Total Development Costs):</v>
      </c>
      <c r="E304" s="250"/>
      <c r="F304" s="250"/>
      <c r="G304" s="279" t="s">
        <v>599</v>
      </c>
      <c r="H304" s="278" t="str">
        <f>IF(AND(N(H300)=0,N(H262)=0),"",N(H300)-N(H262))</f>
        <v/>
      </c>
      <c r="I304" s="243"/>
      <c r="J304" s="277" t="s">
        <v>701</v>
      </c>
      <c r="K304" s="243"/>
      <c r="L304" s="243"/>
      <c r="M304" s="243"/>
      <c r="O304" s="253"/>
      <c r="P304" s="253"/>
      <c r="Q304" s="236" t="str">
        <f>IF(N(H304)=0,"Construction Funding Sources are equal to Total Development Costs.",IF(N(H304)&lt;0,"There is a shortfall in Construction Funding Sources which must be corrected.","There is a surplus of Construction Funding Sources which is permitted at time of Application."))</f>
        <v>Construction Funding Sources are equal to Total Development Costs.</v>
      </c>
    </row>
    <row r="305" spans="1:34" ht="13.8" thickTop="1">
      <c r="O305" s="253"/>
      <c r="P305" s="253"/>
    </row>
    <row r="306" spans="1:34" ht="13.8" thickBot="1">
      <c r="B306" s="250" t="s">
        <v>702</v>
      </c>
      <c r="D306" s="243"/>
      <c r="E306" s="243"/>
      <c r="F306" s="243"/>
      <c r="G306" s="243"/>
      <c r="H306" s="243"/>
      <c r="I306" s="243"/>
      <c r="J306" s="243"/>
      <c r="K306" s="243"/>
      <c r="L306" s="243"/>
      <c r="M306" s="243"/>
      <c r="O306" s="253"/>
      <c r="P306" s="253"/>
    </row>
    <row r="307" spans="1:34" ht="3.75" customHeight="1">
      <c r="A307" s="254"/>
      <c r="B307" s="311"/>
      <c r="C307" s="311"/>
      <c r="D307" s="309"/>
      <c r="E307" s="309"/>
      <c r="F307" s="309"/>
      <c r="G307" s="309"/>
      <c r="H307" s="309"/>
      <c r="I307" s="309"/>
      <c r="J307" s="309"/>
      <c r="K307" s="309"/>
      <c r="L307" s="310"/>
      <c r="M307" s="309"/>
      <c r="N307" s="254"/>
      <c r="O307" s="308"/>
      <c r="P307" s="308"/>
      <c r="Q307" s="2132" t="s">
        <v>839</v>
      </c>
      <c r="R307" s="2133"/>
      <c r="S307" s="2133"/>
      <c r="T307" s="2133"/>
      <c r="U307" s="2133"/>
      <c r="V307" s="2133"/>
      <c r="W307" s="2133"/>
      <c r="X307" s="2133"/>
      <c r="Y307" s="2133"/>
      <c r="Z307" s="2134"/>
    </row>
    <row r="308" spans="1:34">
      <c r="B308" s="250" t="str">
        <f>B$2</f>
        <v>RFA 2022-109 DEVELOPMENT COST PRO FORMA</v>
      </c>
      <c r="O308" s="253"/>
      <c r="P308" s="252" t="str">
        <f>IF($Q$417=1,"(Page 6 of 8)","(Page 6 of 7)")</f>
        <v>(Page 6 of 7)</v>
      </c>
      <c r="Q308" s="2135"/>
      <c r="R308" s="2136"/>
      <c r="S308" s="2136"/>
      <c r="T308" s="2136"/>
      <c r="U308" s="2136"/>
      <c r="V308" s="2136"/>
      <c r="W308" s="2136"/>
      <c r="X308" s="2136"/>
      <c r="Y308" s="2136"/>
      <c r="Z308" s="2137"/>
    </row>
    <row r="309" spans="1:34">
      <c r="B309" s="306"/>
      <c r="C309" s="306"/>
      <c r="D309" s="306"/>
      <c r="E309" s="306"/>
      <c r="F309" s="306"/>
      <c r="G309" s="306"/>
      <c r="H309" s="306"/>
      <c r="I309" s="306"/>
      <c r="J309" s="306"/>
      <c r="K309" s="306"/>
      <c r="L309" s="307"/>
      <c r="M309" s="306"/>
      <c r="O309" s="253"/>
      <c r="P309" s="253"/>
      <c r="Q309" s="2135"/>
      <c r="R309" s="2136"/>
      <c r="S309" s="2136"/>
      <c r="T309" s="2136"/>
      <c r="U309" s="2136"/>
      <c r="V309" s="2136"/>
      <c r="W309" s="2136"/>
      <c r="X309" s="2136"/>
      <c r="Y309" s="2136"/>
      <c r="Z309" s="2137"/>
    </row>
    <row r="310" spans="1:34" ht="13.8" thickBot="1">
      <c r="B310" s="306"/>
      <c r="C310" s="306"/>
      <c r="D310" s="306"/>
      <c r="E310" s="306"/>
      <c r="F310" s="306"/>
      <c r="G310" s="306"/>
      <c r="H310" s="306"/>
      <c r="I310" s="306"/>
      <c r="J310" s="306"/>
      <c r="K310" s="306"/>
      <c r="L310" s="307"/>
      <c r="M310" s="306"/>
      <c r="O310" s="253"/>
      <c r="P310" s="253"/>
      <c r="Q310" s="2138"/>
      <c r="R310" s="2139"/>
      <c r="S310" s="2139"/>
      <c r="T310" s="2139"/>
      <c r="U310" s="2139"/>
      <c r="V310" s="2139"/>
      <c r="W310" s="2139"/>
      <c r="X310" s="2139"/>
      <c r="Y310" s="2139"/>
      <c r="Z310" s="2140"/>
    </row>
    <row r="311" spans="1:34">
      <c r="B311" s="250" t="s">
        <v>703</v>
      </c>
      <c r="C311" s="243"/>
      <c r="D311" s="243"/>
      <c r="E311" s="243"/>
      <c r="F311" s="243"/>
      <c r="G311" s="243"/>
      <c r="H311" s="243"/>
      <c r="I311" s="243"/>
      <c r="J311" s="243"/>
      <c r="K311" s="305"/>
      <c r="L311" s="306"/>
      <c r="M311" s="306"/>
      <c r="O311" s="253"/>
      <c r="P311" s="253"/>
    </row>
    <row r="312" spans="1:34">
      <c r="B312" s="250"/>
      <c r="C312" s="243"/>
      <c r="D312" s="243"/>
      <c r="E312" s="243"/>
      <c r="F312" s="243"/>
      <c r="G312" s="243"/>
      <c r="H312" s="305" t="s">
        <v>680</v>
      </c>
      <c r="I312" s="305"/>
      <c r="J312" s="243"/>
      <c r="K312" s="2131" t="s">
        <v>681</v>
      </c>
      <c r="L312" s="2131"/>
      <c r="M312" s="2131"/>
      <c r="N312" s="2131"/>
      <c r="O312" s="253"/>
      <c r="P312" s="253"/>
      <c r="Q312" s="297"/>
      <c r="T312" s="247"/>
      <c r="U312" s="247"/>
      <c r="V312" s="247"/>
      <c r="W312" s="247"/>
      <c r="X312" s="247"/>
      <c r="Y312" s="247"/>
      <c r="Z312" s="247"/>
    </row>
    <row r="313" spans="1:34">
      <c r="B313" s="243"/>
      <c r="C313" s="243"/>
      <c r="D313" s="243"/>
      <c r="E313" s="243"/>
      <c r="F313" s="243"/>
      <c r="G313" s="243"/>
      <c r="H313" s="243"/>
      <c r="I313" s="243"/>
      <c r="J313" s="243"/>
      <c r="K313" s="243"/>
      <c r="L313" s="243"/>
      <c r="M313" s="243"/>
      <c r="O313" s="253"/>
      <c r="P313" s="253"/>
      <c r="Q313" s="304"/>
    </row>
    <row r="314" spans="1:34" ht="13.2" customHeight="1">
      <c r="B314" s="279" t="s">
        <v>682</v>
      </c>
      <c r="C314" s="250" t="s">
        <v>683</v>
      </c>
      <c r="D314" s="243"/>
      <c r="E314" s="243"/>
      <c r="F314" s="243"/>
      <c r="G314" s="279" t="s">
        <v>599</v>
      </c>
      <c r="H314" s="303" t="str">
        <f>IF(N201="","",N201)</f>
        <v/>
      </c>
      <c r="I314" s="243"/>
      <c r="J314" s="243"/>
      <c r="K314" s="243"/>
      <c r="L314" s="243"/>
      <c r="M314" s="243"/>
      <c r="O314" s="253"/>
      <c r="Q314" s="302"/>
      <c r="AA314" s="244"/>
    </row>
    <row r="315" spans="1:34" ht="13.2" customHeight="1">
      <c r="B315" s="243"/>
      <c r="C315" s="243"/>
      <c r="D315" s="243"/>
      <c r="E315" s="243"/>
      <c r="F315" s="243"/>
      <c r="G315" s="243"/>
      <c r="H315" s="281"/>
      <c r="I315" s="243"/>
      <c r="J315" s="243"/>
      <c r="K315" s="243"/>
      <c r="L315" s="243"/>
      <c r="M315" s="243"/>
      <c r="O315" s="253"/>
      <c r="P315" s="762" t="s">
        <v>1310</v>
      </c>
      <c r="W315" s="346"/>
      <c r="AD315" s="247"/>
      <c r="AE315" s="247"/>
      <c r="AF315" s="247"/>
      <c r="AG315" s="247"/>
      <c r="AH315" s="247"/>
    </row>
    <row r="316" spans="1:34" ht="13.2" customHeight="1">
      <c r="B316" s="279" t="s">
        <v>651</v>
      </c>
      <c r="C316" s="250" t="s">
        <v>704</v>
      </c>
      <c r="D316" s="243"/>
      <c r="E316" s="243"/>
      <c r="F316" s="243"/>
      <c r="G316" s="243"/>
      <c r="H316" s="281"/>
      <c r="I316" s="243"/>
      <c r="J316" s="243"/>
      <c r="K316" s="243"/>
      <c r="L316" s="243"/>
      <c r="M316" s="243"/>
      <c r="O316" s="253"/>
      <c r="P316" s="763" t="s">
        <v>1309</v>
      </c>
      <c r="Q316" s="301" t="s">
        <v>838</v>
      </c>
      <c r="W316" s="885"/>
      <c r="AD316" s="247"/>
      <c r="AE316" s="247"/>
      <c r="AF316" s="247"/>
      <c r="AG316" s="247"/>
      <c r="AH316" s="247"/>
    </row>
    <row r="317" spans="1:34" ht="13.2" customHeight="1">
      <c r="B317" s="243"/>
      <c r="C317" s="243"/>
      <c r="D317" s="243"/>
      <c r="E317" s="243"/>
      <c r="F317" s="243"/>
      <c r="G317" s="241"/>
      <c r="H317" s="294"/>
      <c r="I317" s="243"/>
      <c r="J317" s="243"/>
      <c r="K317" s="243"/>
      <c r="L317" s="243"/>
      <c r="M317" s="243"/>
      <c r="O317" s="253"/>
      <c r="P317" s="764"/>
      <c r="Q317" s="247"/>
      <c r="W317" s="1079" t="s">
        <v>1544</v>
      </c>
      <c r="AD317" s="247"/>
      <c r="AE317" s="247"/>
      <c r="AF317" s="247"/>
      <c r="AG317" s="247"/>
      <c r="AH317" s="247"/>
    </row>
    <row r="318" spans="1:34" ht="13.2" customHeight="1">
      <c r="B318" s="288">
        <f>MAX(B$317:B317)+1</f>
        <v>1</v>
      </c>
      <c r="C318" s="243" t="str">
        <f>C266</f>
        <v>First Mortgage Financing</v>
      </c>
      <c r="D318" s="243"/>
      <c r="E318" s="243"/>
      <c r="F318" s="243"/>
      <c r="G318" s="241" t="s">
        <v>599</v>
      </c>
      <c r="H318" s="287"/>
      <c r="I318" s="243"/>
      <c r="J318" s="243"/>
      <c r="K318" s="2128" t="s">
        <v>195</v>
      </c>
      <c r="L318" s="2128"/>
      <c r="M318" s="2128"/>
      <c r="N318" s="2128"/>
      <c r="O318" s="253"/>
      <c r="P318" s="1664" t="s">
        <v>2</v>
      </c>
      <c r="Q318" s="284">
        <f>IF(N(K$39)=0,0,N(H318)/K$39)</f>
        <v>0</v>
      </c>
      <c r="R318" s="247"/>
      <c r="X318" s="1190">
        <f>IF(ISERROR(SEARCH("Deferred Development Costs",PermAnalysis__1st_Type)),PermAnalysis__1st_Mtg,0)</f>
        <v>0</v>
      </c>
      <c r="AD318" s="247"/>
      <c r="AE318" s="247"/>
      <c r="AF318" s="247"/>
      <c r="AG318" s="247"/>
      <c r="AH318" s="247"/>
    </row>
    <row r="319" spans="1:34" ht="13.2" customHeight="1">
      <c r="B319" s="243"/>
      <c r="C319" s="243"/>
      <c r="D319" s="243"/>
      <c r="E319" s="243"/>
      <c r="F319" s="243"/>
      <c r="G319" s="241"/>
      <c r="H319" s="295"/>
      <c r="I319" s="243"/>
      <c r="J319" s="243"/>
      <c r="K319" s="277"/>
      <c r="L319" s="277"/>
      <c r="M319" s="277"/>
      <c r="O319" s="253"/>
      <c r="Q319" s="247"/>
      <c r="R319" s="247"/>
      <c r="X319" s="1191"/>
      <c r="AA319" s="299"/>
      <c r="AB319" s="299"/>
      <c r="AD319" s="247"/>
      <c r="AE319" s="247"/>
      <c r="AF319" s="247"/>
      <c r="AG319" s="247"/>
      <c r="AH319" s="247"/>
    </row>
    <row r="320" spans="1:34" ht="13.2" customHeight="1">
      <c r="B320" s="288">
        <f>MAX(B$317:B319)+1</f>
        <v>2</v>
      </c>
      <c r="C320" s="243" t="str">
        <f>C268</f>
        <v>Second Mortgage Financing</v>
      </c>
      <c r="D320" s="243"/>
      <c r="E320" s="243"/>
      <c r="F320" s="243"/>
      <c r="G320" s="241" t="s">
        <v>599</v>
      </c>
      <c r="H320" s="287"/>
      <c r="I320" s="243"/>
      <c r="J320" s="243"/>
      <c r="K320" s="2128" t="s">
        <v>195</v>
      </c>
      <c r="L320" s="2128"/>
      <c r="M320" s="2128"/>
      <c r="N320" s="2128"/>
      <c r="O320" s="253"/>
      <c r="P320" s="1664" t="s">
        <v>2</v>
      </c>
      <c r="Q320" s="284">
        <f>IF(N(K$39)=0,0,N(H320)/K$39)</f>
        <v>0</v>
      </c>
      <c r="R320" s="297"/>
      <c r="X320" s="1192">
        <f>IF(ISERROR(SEARCH("Deferred Development Costs",PermAnalysis__2nd_Type)),PermAnalysis__2nd_Mtg,0)</f>
        <v>0</v>
      </c>
      <c r="AA320" s="298"/>
      <c r="AB320" s="298"/>
      <c r="AD320" s="247"/>
      <c r="AE320" s="247"/>
      <c r="AF320" s="247"/>
      <c r="AG320" s="247"/>
      <c r="AH320" s="247"/>
    </row>
    <row r="321" spans="2:34" ht="13.2" customHeight="1">
      <c r="B321" s="243"/>
      <c r="C321" s="243"/>
      <c r="D321" s="243"/>
      <c r="E321" s="243"/>
      <c r="F321" s="243"/>
      <c r="G321" s="241"/>
      <c r="H321" s="295"/>
      <c r="I321" s="243"/>
      <c r="J321" s="243"/>
      <c r="K321" s="277"/>
      <c r="L321" s="277"/>
      <c r="M321" s="277"/>
      <c r="O321" s="253"/>
      <c r="P321" s="761"/>
      <c r="Q321" s="247"/>
      <c r="X321" s="1191"/>
      <c r="AA321" s="298"/>
      <c r="AB321" s="298"/>
      <c r="AD321" s="247"/>
      <c r="AE321" s="247"/>
      <c r="AF321" s="247"/>
      <c r="AG321" s="247"/>
      <c r="AH321" s="247"/>
    </row>
    <row r="322" spans="2:34" ht="13.2" customHeight="1">
      <c r="B322" s="288">
        <f>MAX(B$317:B321)+1</f>
        <v>3</v>
      </c>
      <c r="C322" s="243" t="str">
        <f>C270</f>
        <v>Third Mortgage Financing</v>
      </c>
      <c r="D322" s="243"/>
      <c r="E322" s="243"/>
      <c r="F322" s="243"/>
      <c r="G322" s="241" t="s">
        <v>599</v>
      </c>
      <c r="H322" s="287"/>
      <c r="I322" s="243"/>
      <c r="J322" s="243"/>
      <c r="K322" s="2128" t="s">
        <v>195</v>
      </c>
      <c r="L322" s="2128"/>
      <c r="M322" s="2128"/>
      <c r="N322" s="2128"/>
      <c r="O322" s="253"/>
      <c r="P322" s="1664" t="s">
        <v>2</v>
      </c>
      <c r="Q322" s="284">
        <f>IF(N(K$39)=0,0,N(H322)/K$39)</f>
        <v>0</v>
      </c>
      <c r="R322" s="297"/>
      <c r="U322" s="247"/>
      <c r="V322" s="247"/>
      <c r="X322" s="1192">
        <f>IF(ISERROR(SEARCH("Deferred Development Costs",PermAnalysis__3rd_Type)),PermAnalysis__3rd_Mtg,0)</f>
        <v>0</v>
      </c>
      <c r="AD322" s="247"/>
      <c r="AE322" s="247"/>
      <c r="AF322" s="247"/>
      <c r="AG322" s="247"/>
      <c r="AH322" s="247"/>
    </row>
    <row r="323" spans="2:34" ht="13.2" customHeight="1">
      <c r="B323" s="243"/>
      <c r="C323" s="243"/>
      <c r="D323" s="243"/>
      <c r="E323" s="243"/>
      <c r="F323" s="243"/>
      <c r="G323" s="241"/>
      <c r="H323" s="295"/>
      <c r="I323" s="243"/>
      <c r="J323" s="243"/>
      <c r="K323" s="277"/>
      <c r="L323" s="277"/>
      <c r="M323" s="277"/>
      <c r="O323" s="253"/>
      <c r="Q323" s="247"/>
      <c r="R323" s="887"/>
      <c r="T323" s="887"/>
      <c r="U323" s="296"/>
      <c r="V323" s="247"/>
      <c r="X323" s="1193"/>
      <c r="AC323" s="247"/>
      <c r="AD323" s="247"/>
      <c r="AE323" s="247"/>
      <c r="AF323" s="247"/>
      <c r="AG323" s="247"/>
      <c r="AH323" s="247"/>
    </row>
    <row r="324" spans="2:34" ht="13.2" customHeight="1">
      <c r="B324" s="288">
        <f>MAX(B$317:B323)+1</f>
        <v>4</v>
      </c>
      <c r="C324" s="243" t="str">
        <f>C272</f>
        <v>Fourth Mortgage Financing</v>
      </c>
      <c r="D324" s="243"/>
      <c r="E324" s="243"/>
      <c r="F324" s="243"/>
      <c r="G324" s="241" t="s">
        <v>599</v>
      </c>
      <c r="H324" s="287"/>
      <c r="I324" s="243"/>
      <c r="J324" s="277"/>
      <c r="K324" s="2128" t="s">
        <v>195</v>
      </c>
      <c r="L324" s="2128"/>
      <c r="M324" s="2128"/>
      <c r="N324" s="2128"/>
      <c r="O324" s="253"/>
      <c r="P324" s="1664" t="s">
        <v>2</v>
      </c>
      <c r="Q324" s="284">
        <f>IF(N(K$39)=0,0,N(H324)/K$39)</f>
        <v>0</v>
      </c>
      <c r="R324" s="886"/>
      <c r="T324" s="886"/>
      <c r="U324" s="886"/>
      <c r="V324" s="886"/>
      <c r="X324" s="1192">
        <f>IF(ISERROR(SEARCH("Deferred Development Costs",PermAnalysis__4th_Type)),PermAnalysis__4th_Mtg,0)</f>
        <v>0</v>
      </c>
      <c r="Y324" s="886"/>
      <c r="Z324" s="886"/>
      <c r="AA324" s="886"/>
      <c r="AB324" s="886"/>
      <c r="AC324" s="247"/>
      <c r="AD324" s="247"/>
      <c r="AE324" s="247"/>
      <c r="AF324" s="247"/>
      <c r="AG324" s="247"/>
      <c r="AH324" s="247"/>
    </row>
    <row r="325" spans="2:34" ht="13.2" customHeight="1">
      <c r="B325" s="243"/>
      <c r="C325" s="243"/>
      <c r="D325" s="243"/>
      <c r="E325" s="243"/>
      <c r="F325" s="243"/>
      <c r="G325" s="241"/>
      <c r="H325" s="295"/>
      <c r="I325" s="243"/>
      <c r="J325" s="243"/>
      <c r="K325" s="277"/>
      <c r="L325" s="277"/>
      <c r="M325" s="277"/>
      <c r="O325" s="253"/>
      <c r="P325" s="761"/>
      <c r="Q325" s="247"/>
      <c r="R325" s="247"/>
      <c r="T325" s="247"/>
      <c r="U325" s="247"/>
      <c r="V325" s="247"/>
      <c r="X325" s="1192"/>
      <c r="Y325" s="247"/>
      <c r="Z325" s="247"/>
      <c r="AA325" s="247"/>
      <c r="AB325" s="247"/>
      <c r="AC325" s="247"/>
      <c r="AD325" s="247"/>
      <c r="AE325" s="247"/>
      <c r="AF325" s="247"/>
      <c r="AG325" s="247"/>
    </row>
    <row r="326" spans="2:34" ht="13.2" customHeight="1">
      <c r="B326" s="288">
        <f>MAX(B$317:B325)+1</f>
        <v>5</v>
      </c>
      <c r="C326" s="243" t="str">
        <f>C274</f>
        <v>Fifth Mortgage Financing</v>
      </c>
      <c r="D326" s="243"/>
      <c r="E326" s="243"/>
      <c r="F326" s="243"/>
      <c r="G326" s="241" t="s">
        <v>599</v>
      </c>
      <c r="H326" s="287"/>
      <c r="I326" s="243"/>
      <c r="J326" s="243"/>
      <c r="K326" s="2128" t="s">
        <v>195</v>
      </c>
      <c r="L326" s="2128"/>
      <c r="M326" s="2128"/>
      <c r="N326" s="2128"/>
      <c r="O326" s="253"/>
      <c r="P326" s="1664" t="s">
        <v>2</v>
      </c>
      <c r="Q326" s="284">
        <f>IF(N(K$39)=0,0,N(H326)/K$39)</f>
        <v>0</v>
      </c>
      <c r="T326" s="247"/>
      <c r="U326" s="247"/>
      <c r="V326" s="247"/>
      <c r="X326" s="1192">
        <f>IF(ISERROR(SEARCH("Deferred Development Costs",PermAnalysis__5th_Type)),PermAnalysis__5th_Mtg,0)</f>
        <v>0</v>
      </c>
      <c r="Y326" s="247"/>
      <c r="Z326" s="247"/>
      <c r="AA326" s="247"/>
      <c r="AB326" s="247"/>
      <c r="AC326" s="247"/>
      <c r="AD326" s="247"/>
      <c r="AE326" s="247"/>
      <c r="AF326" s="247"/>
      <c r="AG326" s="247"/>
    </row>
    <row r="327" spans="2:34" ht="13.2" customHeight="1">
      <c r="B327" s="243"/>
      <c r="C327" s="243"/>
      <c r="D327" s="243"/>
      <c r="E327" s="243"/>
      <c r="F327" s="243"/>
      <c r="G327" s="241"/>
      <c r="H327" s="295"/>
      <c r="I327" s="243"/>
      <c r="J327" s="243"/>
      <c r="K327" s="277"/>
      <c r="L327" s="277"/>
      <c r="M327" s="277"/>
      <c r="O327" s="253"/>
      <c r="Q327" s="247"/>
      <c r="R327" s="247"/>
      <c r="T327" s="247"/>
      <c r="X327" s="1191"/>
    </row>
    <row r="328" spans="2:34" ht="13.2" customHeight="1">
      <c r="B328" s="288">
        <f>MAX(B$317:B327)+1</f>
        <v>6</v>
      </c>
      <c r="C328" s="243" t="str">
        <f>C276</f>
        <v>Sixth Mortgage Financing</v>
      </c>
      <c r="G328" s="241" t="s">
        <v>599</v>
      </c>
      <c r="H328" s="287"/>
      <c r="I328" s="243"/>
      <c r="J328" s="277"/>
      <c r="K328" s="2128" t="s">
        <v>195</v>
      </c>
      <c r="L328" s="2128"/>
      <c r="M328" s="2128"/>
      <c r="N328" s="2128"/>
      <c r="O328" s="253"/>
      <c r="P328" s="1664" t="s">
        <v>2</v>
      </c>
      <c r="Q328" s="284">
        <f>IF(N(K$39)=0,0,N(H328)/K$39)</f>
        <v>0</v>
      </c>
      <c r="R328" s="247"/>
      <c r="T328" s="247"/>
      <c r="X328" s="1192">
        <f>IF(ISERROR(SEARCH("Deferred Development Costs",PermAnalysis__6th_Type)),PermAnalysis__6th_Mtg,0)</f>
        <v>0</v>
      </c>
    </row>
    <row r="329" spans="2:34" ht="13.2" customHeight="1">
      <c r="B329" s="288"/>
      <c r="C329" s="243"/>
      <c r="D329" s="243"/>
      <c r="E329" s="243"/>
      <c r="F329" s="243"/>
      <c r="G329" s="241"/>
      <c r="H329" s="295"/>
      <c r="I329" s="243"/>
      <c r="J329" s="277"/>
      <c r="K329" s="277"/>
      <c r="L329" s="277"/>
      <c r="M329" s="277"/>
      <c r="O329" s="253"/>
      <c r="Q329" s="247"/>
      <c r="R329" s="247"/>
      <c r="X329" s="1191"/>
    </row>
    <row r="330" spans="2:34" ht="13.2" customHeight="1">
      <c r="B330" s="288" t="str">
        <f>IF(DS_FHFC_Source_1_Name="","",MAX(B$317:B329)+1)</f>
        <v/>
      </c>
      <c r="C330" s="243" t="str">
        <f>C278</f>
        <v xml:space="preserve"> Financing</v>
      </c>
      <c r="D330" s="243"/>
      <c r="E330" s="243"/>
      <c r="F330" s="243"/>
      <c r="G330" s="241" t="s">
        <v>599</v>
      </c>
      <c r="H330" s="1472" t="str">
        <f>ConstrAnalysis__7th_Mtg</f>
        <v/>
      </c>
      <c r="I330" s="1473"/>
      <c r="J330" s="1474"/>
      <c r="K330" s="2112" t="str">
        <f>ConstrAnalysis__7th_Type</f>
        <v>Enter request on Funding Tab</v>
      </c>
      <c r="L330" s="2112"/>
      <c r="M330" s="2112"/>
      <c r="N330" s="2112"/>
      <c r="O330" s="253"/>
      <c r="Q330" s="284">
        <f>IF(N(K$39)=0,0,N(H330)/K$39)</f>
        <v>0</v>
      </c>
      <c r="R330" s="247" t="str">
        <f>IF(OR(AND(PermAnalysis__7th_Type="FHFC - Workforce",PermAnalysis__7th_Mtg&gt;Max_Workforce),AND(PermAnalysis__7th_Type="FHFC - SAIL",PermAnalysis__7th_Mtg&gt;Max_SAIL),AND(PermAnalysis__7th_Type="FHFC - SAIL ELI",PermAnalysis__7th_Mtg&gt;Funding!$H$40),AND(PermAnalysis__7th_Type="FHFC - HOME",PermAnalysis__7th_Mtg&gt;Funding!$H$57),AND(PermAnalysis__7th_Type="FHFC - Grant",PermAnalysis__7th_Mtg&gt;Funding!$H$76),AND(PermAnalysis__7th_Type="FHFC - TBD",PermAnalysis__7th_Mtg&gt;Funding!$H$102)),"The Request Amount is greater than the maximum allowed.","")</f>
        <v/>
      </c>
      <c r="X330" s="1192" t="str">
        <f>IF(ISERROR(SEARCH("Deferred Development Costs",PermAnalysis__7th_Type)),PermAnalysis__7th_Mtg,0)</f>
        <v/>
      </c>
    </row>
    <row r="331" spans="2:34" ht="13.2" customHeight="1">
      <c r="B331" s="243"/>
      <c r="C331" s="243"/>
      <c r="D331" s="243"/>
      <c r="E331" s="243"/>
      <c r="F331" s="243"/>
      <c r="G331" s="241"/>
      <c r="H331" s="1477"/>
      <c r="I331" s="1473"/>
      <c r="J331" s="1473"/>
      <c r="K331" s="1474"/>
      <c r="L331" s="1474"/>
      <c r="M331" s="1474"/>
      <c r="N331" s="1473"/>
      <c r="O331" s="253"/>
      <c r="P331" s="253"/>
      <c r="Q331" s="247"/>
      <c r="R331" s="246"/>
      <c r="X331" s="1191"/>
    </row>
    <row r="332" spans="2:34" ht="13.2" customHeight="1">
      <c r="B332" s="288" t="str">
        <f>IF(DS_FHFC_Source_2_Name="","",MAX(B$317:B331)+1)</f>
        <v/>
      </c>
      <c r="C332" s="243" t="str">
        <f>C280</f>
        <v xml:space="preserve"> Financing</v>
      </c>
      <c r="G332" s="241" t="s">
        <v>599</v>
      </c>
      <c r="H332" s="1472" t="str">
        <f>ConstrAnalysis__8th_Mtg</f>
        <v/>
      </c>
      <c r="I332" s="1473"/>
      <c r="J332" s="1478"/>
      <c r="K332" s="2112" t="str">
        <f>ConstrAnalysis__8th_Type</f>
        <v>Enter request on Funding Tab</v>
      </c>
      <c r="L332" s="2112"/>
      <c r="M332" s="2112"/>
      <c r="N332" s="2112"/>
      <c r="O332" s="253"/>
      <c r="P332" s="253"/>
      <c r="Q332" s="284">
        <f>IF(N(K$39)=0,0,N(H332)/K$39)</f>
        <v>0</v>
      </c>
      <c r="R332" s="247" t="str">
        <f>IF(OR(AND(PermAnalysis__8th_Type="FHFC - Workforce",PermAnalysis__8th_Mtg&gt;Max_Workforce),AND(PermAnalysis__8th_Type="FHFC - SAIL",PermAnalysis__8th_Mtg&gt;Max_SAIL),AND(PermAnalysis__8th_Type="FHFC - SAIL ELI",PermAnalysis__8th_Mtg&gt;Funding!$H$40),AND(PermAnalysis__8th_Type="FHFC - HOME",PermAnalysis__8th_Mtg&gt;Funding!$H$57),AND(PermAnalysis__8th_Type="FHFC - Grant",PermAnalysis__8th_Mtg&gt;Funding!$H$76),AND(PermAnalysis__8th_Type="FHFC - TBD",PermAnalysis__8th_Mtg&gt;Funding!$H$102)),"The Request Amount is greater than the maximum allowed.","")</f>
        <v/>
      </c>
      <c r="X332" s="1192" t="str">
        <f>IF(ISERROR(SEARCH("Deferred Development Costs",PermAnalysis__8th_Type)),PermAnalysis__8th_Mtg,0)</f>
        <v/>
      </c>
    </row>
    <row r="333" spans="2:34" ht="13.2" customHeight="1">
      <c r="B333" s="243"/>
      <c r="C333" s="243"/>
      <c r="D333" s="243"/>
      <c r="E333" s="243"/>
      <c r="F333" s="243"/>
      <c r="G333" s="241"/>
      <c r="H333" s="1477"/>
      <c r="I333" s="1473"/>
      <c r="J333" s="1478"/>
      <c r="K333" s="1474"/>
      <c r="L333" s="1474"/>
      <c r="M333" s="1474"/>
      <c r="N333" s="1473"/>
      <c r="O333" s="253"/>
      <c r="P333" s="253"/>
      <c r="Q333" s="247"/>
      <c r="X333" s="1191"/>
    </row>
    <row r="334" spans="2:34" ht="13.2" customHeight="1">
      <c r="B334" s="288" t="str">
        <f>IF(DS_FHFC_Source_3_Name="","",MAX(B$317:B333)+1)</f>
        <v/>
      </c>
      <c r="C334" s="243" t="str">
        <f>C282</f>
        <v xml:space="preserve"> Financing</v>
      </c>
      <c r="D334" s="243"/>
      <c r="E334" s="243"/>
      <c r="F334" s="243"/>
      <c r="G334" s="241" t="s">
        <v>599</v>
      </c>
      <c r="H334" s="1472" t="str">
        <f>ConstrAnalysis__9th_Mtg</f>
        <v/>
      </c>
      <c r="I334" s="1473"/>
      <c r="J334" s="1478"/>
      <c r="K334" s="2112" t="str">
        <f>ConstrAnalysis__9th_Type</f>
        <v>Enter request on Funding Tab</v>
      </c>
      <c r="L334" s="2112"/>
      <c r="M334" s="2112"/>
      <c r="N334" s="2112"/>
      <c r="O334" s="253"/>
      <c r="P334" s="253"/>
      <c r="Q334" s="284">
        <f>IF(N(K$39)=0,0,N(H334)/K$39)</f>
        <v>0</v>
      </c>
      <c r="R334" s="247" t="str">
        <f>IF(OR(AND(PermAnalysis__9th_Type="FHFC - Workforce",PermAnalysis__9th_Mtg&gt;Max_Workforce),AND(PermAnalysis__9th_Type="FHFC - SAIL",PermAnalysis__9th_Mtg&gt;Max_SAIL),AND(PermAnalysis__9th_Type="FHFC - SAIL ELI",PermAnalysis__9th_Mtg&gt;Funding!$H$40),AND(PermAnalysis__9th_Type="FHFC - HOME",PermAnalysis__9th_Mtg&gt;Funding!$H$57),AND(PermAnalysis__9th_Type="FHFC - Grant",PermAnalysis__9th_Mtg&gt;Funding!$H$76),AND(PermAnalysis__9th_Type="FHFC - TBD",PermAnalysis__9th_Mtg&gt;Funding!$H$102)),"The Request Amount is greater than the maximum allowed.","")</f>
        <v/>
      </c>
      <c r="X334" s="1192" t="str">
        <f>IF(ISERROR(SEARCH("Deferred Development Costs",PermAnalysis__9th_Type)),PermAnalysis__9th_Mtg,0)</f>
        <v/>
      </c>
    </row>
    <row r="335" spans="2:34" ht="13.2" customHeight="1">
      <c r="B335" s="243"/>
      <c r="C335" s="243"/>
      <c r="D335" s="243"/>
      <c r="E335" s="243"/>
      <c r="F335" s="243"/>
      <c r="G335" s="243"/>
      <c r="H335" s="1475"/>
      <c r="I335" s="1473"/>
      <c r="J335" s="1478"/>
      <c r="K335" s="1474"/>
      <c r="L335" s="1474"/>
      <c r="M335" s="1474"/>
      <c r="N335" s="1473"/>
      <c r="O335" s="253"/>
      <c r="P335" s="253"/>
      <c r="Q335" s="247"/>
      <c r="X335" s="1191"/>
    </row>
    <row r="336" spans="2:34" ht="13.2" hidden="1" customHeight="1">
      <c r="B336" s="1580" t="str">
        <f>IF(DS_FHFC_Source_4_Name="","",MAX(B$317:B335)+1)</f>
        <v/>
      </c>
      <c r="C336" s="1581" t="str">
        <f>C284</f>
        <v xml:space="preserve"> Financing</v>
      </c>
      <c r="D336" s="1581"/>
      <c r="E336" s="1581"/>
      <c r="F336" s="1581"/>
      <c r="G336" s="1582" t="s">
        <v>599</v>
      </c>
      <c r="H336" s="1583" t="str">
        <f>ConstrAnalysis_10th_Mtg</f>
        <v/>
      </c>
      <c r="I336" s="1584"/>
      <c r="J336" s="1591"/>
      <c r="K336" s="2113" t="str">
        <f>ConstrAnalysis_10th_Type</f>
        <v>Enter request on Funding Tab</v>
      </c>
      <c r="L336" s="2113"/>
      <c r="M336" s="2113"/>
      <c r="N336" s="2113"/>
      <c r="O336" s="1592"/>
      <c r="P336" s="1592"/>
      <c r="Q336" s="1587">
        <f>IF(N(K$39)=0,0,N(H336)/K$39)</f>
        <v>0</v>
      </c>
      <c r="R336" s="247" t="str">
        <f>IF(OR(AND(PermAnalysis_10th_Type="FHFC - Workforce",PermAnalysis_10th_Mtg&gt;Max_Workforce),AND(PermAnalysis_10th_Type="FHFC - SAIL",PermAnalysis_10th_Mtg&gt;Max_SAIL),AND(PermAnalysis_10th_Type="FHFC - SAIL ELI",PermAnalysis_10th_Mtg&gt;Funding!$H$40),AND(PermAnalysis_10th_Type="FHFC - HOME",PermAnalysis_10th_Mtg&gt;Funding!$H$57),AND(PermAnalysis_10th_Type="FHFC - Grant",PermAnalysis_10th_Mtg&gt;Funding!$H$76),AND(PermAnalysis_10th_Type="FHFC - TBD",PermAnalysis_10th_Mtg&gt;Funding!$H$102)),"The Request Amount is greater than the maximum allowed.","")</f>
        <v/>
      </c>
      <c r="X336" s="1192" t="str">
        <f>IF(ISERROR(SEARCH("Deferred Development Costs",PermAnalysis_10th_Type)),PermAnalysis_10th_Mtg,0)</f>
        <v/>
      </c>
    </row>
    <row r="337" spans="2:24" ht="13.2" hidden="1" customHeight="1">
      <c r="B337" s="1581"/>
      <c r="C337" s="1581"/>
      <c r="D337" s="1581"/>
      <c r="E337" s="1581"/>
      <c r="F337" s="1581"/>
      <c r="G337" s="1581"/>
      <c r="H337" s="1593"/>
      <c r="I337" s="1581"/>
      <c r="J337" s="1594"/>
      <c r="K337" s="1595"/>
      <c r="L337" s="1596"/>
      <c r="M337" s="1581"/>
      <c r="N337" s="1590"/>
      <c r="O337" s="1592"/>
      <c r="P337" s="1592"/>
      <c r="Q337" s="1590"/>
      <c r="X337" s="1191"/>
    </row>
    <row r="338" spans="2:24" ht="13.2" hidden="1" customHeight="1">
      <c r="B338" s="288"/>
      <c r="C338" s="243" t="s">
        <v>705</v>
      </c>
      <c r="D338" s="243"/>
      <c r="E338" s="243"/>
      <c r="F338" s="243"/>
      <c r="G338" s="241" t="s">
        <v>599</v>
      </c>
      <c r="H338" s="888"/>
      <c r="I338" s="243"/>
      <c r="J338" s="242"/>
      <c r="K338" s="292"/>
      <c r="L338" s="291"/>
      <c r="M338" s="243"/>
      <c r="O338" s="253"/>
      <c r="P338" s="1081" t="str">
        <f>IF(AND(OR(Competitive_HC_Request_Amount&gt;0,Non_Competitive_HC_Request_Amount&gt;0),PermAnalysis_HC=0),"**","")</f>
        <v/>
      </c>
      <c r="Q338" s="1084">
        <f>IF(N(K$39)=0,0,N(H338)/K$39)</f>
        <v>0</v>
      </c>
      <c r="R338" s="2126" t="s">
        <v>1564</v>
      </c>
      <c r="S338" s="2126"/>
      <c r="T338" s="2126"/>
      <c r="U338" s="2126"/>
      <c r="V338" s="2126"/>
      <c r="W338" s="2126"/>
      <c r="X338" s="1191"/>
    </row>
    <row r="339" spans="2:24" ht="13.2" hidden="1" customHeight="1">
      <c r="B339" s="293"/>
      <c r="G339" s="241"/>
      <c r="H339" s="289"/>
      <c r="I339" s="243"/>
      <c r="J339" s="242"/>
      <c r="K339" s="292"/>
      <c r="L339" s="291"/>
      <c r="M339" s="243"/>
      <c r="O339" s="253"/>
      <c r="P339" s="253"/>
      <c r="Q339" s="608"/>
      <c r="R339" s="2127"/>
      <c r="S339" s="2127"/>
      <c r="T339" s="2127"/>
      <c r="U339" s="2127"/>
      <c r="V339" s="2127"/>
      <c r="W339" s="2127"/>
      <c r="X339" s="1191"/>
    </row>
    <row r="340" spans="2:24" ht="13.2" customHeight="1">
      <c r="B340" s="288">
        <f>MAX(B$317:B339)+1</f>
        <v>7</v>
      </c>
      <c r="C340" s="293" t="s">
        <v>676</v>
      </c>
      <c r="D340" s="243"/>
      <c r="E340" s="2119"/>
      <c r="F340" s="2119"/>
      <c r="G340" s="241" t="s">
        <v>599</v>
      </c>
      <c r="H340" s="287"/>
      <c r="I340" s="243"/>
      <c r="J340" s="242"/>
      <c r="K340" s="2128" t="s">
        <v>195</v>
      </c>
      <c r="L340" s="2128"/>
      <c r="M340" s="2128"/>
      <c r="N340" s="2128"/>
      <c r="O340" s="253"/>
      <c r="P340" s="1664" t="s">
        <v>2</v>
      </c>
      <c r="Q340" s="284">
        <f>IF(N(K$39)=0,0,N(H340)/K$39)</f>
        <v>0</v>
      </c>
      <c r="R340" s="247"/>
      <c r="X340" s="1192">
        <f>IF(ISERROR(SEARCH("Deferred Development Costs",PermAnalysis_Other_1_Type)),PermAnalysis_other1,0)</f>
        <v>0</v>
      </c>
    </row>
    <row r="341" spans="2:24" ht="13.2" customHeight="1">
      <c r="B341" s="243"/>
      <c r="H341" s="282"/>
      <c r="J341" s="242"/>
      <c r="K341" s="292"/>
      <c r="L341" s="291"/>
      <c r="M341" s="243"/>
      <c r="O341" s="253"/>
      <c r="P341" s="786"/>
      <c r="X341" s="1191"/>
    </row>
    <row r="342" spans="2:24" ht="13.2" customHeight="1">
      <c r="B342" s="288">
        <f>MAX(B$317:B341)+1</f>
        <v>8</v>
      </c>
      <c r="C342" s="243" t="s">
        <v>676</v>
      </c>
      <c r="D342" s="243"/>
      <c r="E342" s="2119"/>
      <c r="F342" s="2119"/>
      <c r="G342" s="241" t="s">
        <v>599</v>
      </c>
      <c r="H342" s="287"/>
      <c r="I342" s="243"/>
      <c r="J342" s="242"/>
      <c r="K342" s="2128" t="s">
        <v>195</v>
      </c>
      <c r="L342" s="2128"/>
      <c r="M342" s="2128"/>
      <c r="N342" s="2128"/>
      <c r="O342" s="253"/>
      <c r="P342" s="1664" t="s">
        <v>2</v>
      </c>
      <c r="Q342" s="284">
        <f>IF(N(K$39)=0,0,N(H342)/K$39)</f>
        <v>0</v>
      </c>
      <c r="X342" s="1192">
        <f>IF(ISERROR(SEARCH("Deferred Development Costs",PermAnalysis_Other_2_Type)),PermAnalysis_other2,0)</f>
        <v>0</v>
      </c>
    </row>
    <row r="343" spans="2:24" ht="13.2" customHeight="1">
      <c r="B343" s="283"/>
      <c r="C343" s="243"/>
      <c r="D343" s="243"/>
      <c r="E343" s="290"/>
      <c r="F343" s="290"/>
      <c r="H343" s="289"/>
      <c r="I343" s="243"/>
      <c r="J343" s="286"/>
      <c r="K343" s="286"/>
      <c r="L343" s="286"/>
      <c r="M343" s="286"/>
      <c r="N343" s="286"/>
      <c r="O343" s="286"/>
      <c r="P343" s="934"/>
      <c r="X343" s="1191"/>
    </row>
    <row r="344" spans="2:24" ht="13.2" customHeight="1">
      <c r="B344" s="288">
        <f>MAX(B$317:B343)+1</f>
        <v>9</v>
      </c>
      <c r="C344" s="243" t="s">
        <v>698</v>
      </c>
      <c r="D344" s="243"/>
      <c r="E344" s="243"/>
      <c r="F344" s="243"/>
      <c r="G344" s="241" t="s">
        <v>599</v>
      </c>
      <c r="H344" s="888"/>
      <c r="I344" s="243"/>
      <c r="J344" s="286"/>
      <c r="L344" s="243"/>
      <c r="M344" s="243"/>
      <c r="O344" s="286"/>
      <c r="P344" s="286"/>
      <c r="Q344" s="284">
        <f>IF(N(K$39)=0,0,N(H344)/K$39)</f>
        <v>0</v>
      </c>
      <c r="R344" s="2111" t="str">
        <f>IF(PermAnalysis_deferredfee&gt;Developer_fee_total,"The Deferred Developer Fee is greater than than the Total Developer Fee.","")</f>
        <v/>
      </c>
      <c r="S344" s="2111"/>
      <c r="T344" s="2111"/>
      <c r="U344" s="2111"/>
      <c r="V344" s="2111"/>
      <c r="W344" s="1086"/>
      <c r="X344" s="1194"/>
    </row>
    <row r="345" spans="2:24" ht="13.2" customHeight="1">
      <c r="B345" s="243"/>
      <c r="H345" s="282"/>
      <c r="I345" s="243"/>
      <c r="J345" s="286"/>
      <c r="K345" s="286"/>
      <c r="L345" s="286"/>
      <c r="M345" s="286"/>
      <c r="N345" s="286"/>
      <c r="O345" s="286"/>
      <c r="P345" s="286"/>
      <c r="X345" s="1191"/>
    </row>
    <row r="346" spans="2:24" ht="13.2" customHeight="1" thickBot="1">
      <c r="B346" s="285">
        <f>MAX(B$317:B345)+1</f>
        <v>10</v>
      </c>
      <c r="C346" s="250" t="s">
        <v>706</v>
      </c>
      <c r="D346" s="243"/>
      <c r="E346" s="243"/>
      <c r="F346" s="243"/>
      <c r="G346" s="241" t="s">
        <v>599</v>
      </c>
      <c r="H346" s="278" t="str">
        <f>IF(SUM(H317:H345)&lt;1,"",SUM(H317:H345))</f>
        <v/>
      </c>
      <c r="L346" s="243"/>
      <c r="M346" s="243"/>
      <c r="O346" s="253"/>
      <c r="P346" s="253"/>
      <c r="Q346" s="284">
        <f>IF(N(K$39)=0,0,N(H346)/K$39)</f>
        <v>0</v>
      </c>
      <c r="X346" s="1195">
        <f>SUM(X318:X342)</f>
        <v>0</v>
      </c>
    </row>
    <row r="347" spans="2:24" ht="13.2" customHeight="1" thickTop="1">
      <c r="B347" s="283"/>
      <c r="C347" s="243"/>
      <c r="D347" s="243"/>
      <c r="E347" s="243"/>
      <c r="F347" s="243"/>
      <c r="G347" s="241"/>
      <c r="H347" s="282"/>
      <c r="L347" s="243"/>
      <c r="M347" s="243"/>
      <c r="O347" s="253"/>
      <c r="P347" s="253"/>
      <c r="W347" s="974"/>
      <c r="X347" s="637"/>
    </row>
    <row r="348" spans="2:24" ht="13.2" customHeight="1">
      <c r="B348" s="279" t="s">
        <v>653</v>
      </c>
      <c r="C348" s="250" t="s">
        <v>707</v>
      </c>
      <c r="D348" s="250"/>
      <c r="E348" s="250"/>
      <c r="F348" s="250"/>
      <c r="G348" s="243"/>
      <c r="H348" s="281"/>
      <c r="I348" s="243"/>
      <c r="J348" s="277"/>
      <c r="K348" s="277"/>
      <c r="L348" s="243"/>
      <c r="M348" s="243"/>
      <c r="O348" s="253"/>
      <c r="P348" s="253"/>
      <c r="W348" s="346"/>
    </row>
    <row r="349" spans="2:24" ht="13.2" customHeight="1">
      <c r="B349" s="279"/>
      <c r="C349" s="250"/>
      <c r="D349" s="280" t="str">
        <f>"(B."&amp;TEXT(B346,"0")&amp;". "&amp;C346&amp;", "</f>
        <v xml:space="preserve">(B.10. Total Permanent Funding Sources, </v>
      </c>
      <c r="E349" s="250"/>
      <c r="F349" s="250"/>
      <c r="G349" s="243"/>
      <c r="H349" s="281"/>
      <c r="I349" s="243"/>
      <c r="J349" s="277"/>
      <c r="K349" s="277"/>
      <c r="L349" s="243"/>
      <c r="M349" s="243"/>
      <c r="O349" s="253"/>
      <c r="P349" s="255" t="str">
        <f>IF(N(H350)&lt;0,"**","")</f>
        <v/>
      </c>
      <c r="W349" s="346"/>
    </row>
    <row r="350" spans="2:24" ht="13.2" customHeight="1" thickBot="1">
      <c r="B350" s="279"/>
      <c r="C350" s="250"/>
      <c r="D350" s="280" t="str">
        <f>" less "&amp;B314&amp;" "&amp;C314&amp;"):"</f>
        <v xml:space="preserve"> less A. Total Development Costs):</v>
      </c>
      <c r="E350" s="250"/>
      <c r="F350" s="250"/>
      <c r="G350" s="279" t="s">
        <v>599</v>
      </c>
      <c r="H350" s="278" t="str">
        <f>IF(AND(N(H346)=0,N(H314)=0),"",N(H346)-N(H314))</f>
        <v/>
      </c>
      <c r="I350" s="243"/>
      <c r="J350" s="277" t="s">
        <v>701</v>
      </c>
      <c r="K350" s="243"/>
      <c r="O350" s="253"/>
      <c r="P350" s="253"/>
      <c r="Q350" s="236" t="str">
        <f>IF(N(H350)=0,"Permanent Funding Sources are equal to Total Development Costs.",IF(N(H350)&lt;0,"There is a shortfall in Permanent Funding Sources which must be corrected.","There is a surplus of Permanent Funding Sources which is permitted at time of Application."))</f>
        <v>Permanent Funding Sources are equal to Total Development Costs.</v>
      </c>
      <c r="W350" s="346"/>
    </row>
    <row r="351" spans="2:24" ht="13.8" thickTop="1">
      <c r="B351" s="250"/>
      <c r="C351" s="250"/>
      <c r="D351" s="243"/>
      <c r="E351" s="250"/>
      <c r="F351" s="250"/>
      <c r="G351" s="241"/>
      <c r="I351" s="243"/>
      <c r="J351" s="243"/>
      <c r="K351" s="243"/>
      <c r="O351" s="253"/>
      <c r="P351" s="253"/>
    </row>
    <row r="352" spans="2:24" ht="13.8" thickBot="1">
      <c r="B352" s="250" t="s">
        <v>702</v>
      </c>
      <c r="D352" s="243"/>
      <c r="E352" s="243"/>
      <c r="F352" s="243"/>
      <c r="G352" s="243"/>
      <c r="H352" s="243"/>
      <c r="I352" s="243"/>
      <c r="J352" s="243"/>
      <c r="K352" s="243"/>
      <c r="L352" s="243"/>
      <c r="M352" s="243"/>
      <c r="O352" s="253"/>
      <c r="P352" s="253"/>
    </row>
    <row r="353" spans="1:25" ht="3.75" customHeight="1">
      <c r="A353" s="254"/>
      <c r="B353" s="254"/>
      <c r="C353" s="254"/>
      <c r="D353" s="254"/>
      <c r="E353" s="254"/>
      <c r="F353" s="254"/>
      <c r="G353" s="254"/>
      <c r="H353" s="254"/>
      <c r="I353" s="254"/>
      <c r="J353" s="254"/>
      <c r="K353" s="254"/>
      <c r="L353" s="254"/>
      <c r="M353" s="254"/>
      <c r="N353" s="254"/>
      <c r="O353" s="254"/>
      <c r="P353" s="254"/>
    </row>
    <row r="354" spans="1:25">
      <c r="B354" s="250" t="str">
        <f>B$2</f>
        <v>RFA 2022-109 DEVELOPMENT COST PRO FORMA</v>
      </c>
      <c r="O354" s="253"/>
      <c r="P354" s="252" t="str">
        <f>IF($Q$417=1,"(Page 7 of 8)","(Page 7 of 7)")</f>
        <v>(Page 7 of 7)</v>
      </c>
    </row>
    <row r="355" spans="1:25" ht="12.45" customHeight="1"/>
    <row r="356" spans="1:25">
      <c r="B356" s="251" t="s">
        <v>837</v>
      </c>
      <c r="C356" s="251"/>
      <c r="D356" s="251"/>
      <c r="E356" s="251"/>
      <c r="F356" s="251"/>
      <c r="G356" s="251"/>
      <c r="H356" s="251"/>
      <c r="I356" s="251"/>
      <c r="J356" s="251"/>
      <c r="K356" s="251"/>
      <c r="L356" s="251"/>
      <c r="M356" s="251"/>
      <c r="N356" s="251"/>
      <c r="O356" s="251"/>
      <c r="P356" s="251"/>
    </row>
    <row r="357" spans="1:25">
      <c r="B357" s="251" t="s">
        <v>1285</v>
      </c>
      <c r="C357" s="251"/>
      <c r="D357" s="251"/>
      <c r="E357" s="251"/>
      <c r="F357" s="251"/>
      <c r="G357" s="251"/>
      <c r="H357" s="251"/>
      <c r="I357" s="251"/>
      <c r="J357" s="251"/>
      <c r="K357" s="251"/>
      <c r="L357" s="251"/>
      <c r="M357" s="251"/>
      <c r="N357" s="251"/>
      <c r="O357" s="251"/>
      <c r="P357" s="251"/>
    </row>
    <row r="358" spans="1:25">
      <c r="B358" s="251" t="s">
        <v>1284</v>
      </c>
      <c r="C358" s="251"/>
      <c r="D358" s="251"/>
      <c r="E358" s="251"/>
      <c r="F358" s="251"/>
      <c r="G358" s="251"/>
      <c r="H358" s="251"/>
      <c r="I358" s="251"/>
      <c r="J358" s="251"/>
      <c r="K358" s="251"/>
      <c r="L358" s="251"/>
      <c r="M358" s="251"/>
      <c r="N358" s="251"/>
      <c r="O358" s="251"/>
      <c r="P358" s="251"/>
    </row>
    <row r="359" spans="1:25">
      <c r="B359" s="251" t="s">
        <v>836</v>
      </c>
      <c r="C359" s="251"/>
      <c r="D359" s="251"/>
      <c r="E359" s="251"/>
      <c r="F359" s="251"/>
      <c r="G359" s="251"/>
      <c r="H359" s="251"/>
      <c r="I359" s="251"/>
      <c r="J359" s="251"/>
      <c r="K359" s="251"/>
      <c r="L359" s="251"/>
      <c r="M359" s="251"/>
      <c r="N359" s="251"/>
      <c r="O359" s="251"/>
      <c r="P359" s="251"/>
    </row>
    <row r="360" spans="1:25">
      <c r="B360" s="251" t="s">
        <v>1286</v>
      </c>
      <c r="C360" s="251"/>
      <c r="D360" s="251"/>
      <c r="E360" s="251"/>
      <c r="F360" s="251"/>
      <c r="G360" s="251"/>
      <c r="H360" s="251"/>
      <c r="I360" s="251"/>
      <c r="J360" s="251"/>
      <c r="K360" s="251"/>
      <c r="L360" s="251"/>
      <c r="M360" s="251"/>
      <c r="N360" s="251"/>
      <c r="O360" s="251"/>
      <c r="P360" s="251"/>
    </row>
    <row r="361" spans="1:25">
      <c r="B361" s="251" t="s">
        <v>1283</v>
      </c>
    </row>
    <row r="362" spans="1:25" ht="7.95" customHeight="1"/>
    <row r="363" spans="1:25">
      <c r="B363" s="250" t="s">
        <v>835</v>
      </c>
      <c r="K363" s="727"/>
      <c r="L363" s="727"/>
      <c r="M363" s="727"/>
      <c r="N363" s="728"/>
    </row>
    <row r="364" spans="1:25" ht="7.95" customHeight="1"/>
    <row r="365" spans="1:25" s="637" customFormat="1">
      <c r="B365" s="722"/>
      <c r="C365" s="637" t="s">
        <v>834</v>
      </c>
      <c r="K365" s="2117" t="str">
        <f>IF(County=DS_Select_One,"County input required",County)</f>
        <v>County input required</v>
      </c>
      <c r="L365" s="2118"/>
      <c r="M365" s="2118"/>
      <c r="N365" s="723" t="str">
        <f>IF(K365="County input required","","("&amp;VLOOKUP(K365,DS_CountyData,2)&amp;" County)")</f>
        <v/>
      </c>
      <c r="Q365" s="724"/>
    </row>
    <row r="366" spans="1:25" ht="7.95" customHeight="1" thickBot="1">
      <c r="B366" s="276"/>
      <c r="N366" s="249"/>
    </row>
    <row r="367" spans="1:25" ht="24.75" customHeight="1">
      <c r="B367" s="275"/>
      <c r="C367" s="274"/>
      <c r="D367" s="2085" t="s">
        <v>1287</v>
      </c>
      <c r="E367" s="2086"/>
      <c r="F367" s="2086"/>
      <c r="G367" s="2086"/>
      <c r="H367" s="2086"/>
      <c r="I367" s="2086"/>
      <c r="J367" s="2086"/>
      <c r="K367" s="2086"/>
      <c r="L367" s="2086"/>
      <c r="M367" s="2086"/>
      <c r="N367" s="2087"/>
      <c r="V367" s="265"/>
      <c r="W367" s="265"/>
      <c r="X367" s="266"/>
      <c r="Y367" s="265"/>
    </row>
    <row r="368" spans="1:25" ht="48.75" customHeight="1">
      <c r="B368" s="273"/>
      <c r="C368" s="272"/>
      <c r="D368" s="2120" t="s">
        <v>833</v>
      </c>
      <c r="E368" s="2121"/>
      <c r="F368" s="2121"/>
      <c r="G368" s="2122" t="s">
        <v>832</v>
      </c>
      <c r="H368" s="2123"/>
      <c r="I368" s="2122" t="s">
        <v>831</v>
      </c>
      <c r="J368" s="2124"/>
      <c r="K368" s="2124"/>
      <c r="L368" s="2122" t="s">
        <v>830</v>
      </c>
      <c r="M368" s="2124"/>
      <c r="N368" s="2125"/>
      <c r="V368" s="265"/>
      <c r="W368" s="265"/>
      <c r="X368" s="266"/>
      <c r="Y368" s="265"/>
    </row>
    <row r="369" spans="2:27" ht="20.100000000000001" customHeight="1">
      <c r="B369" s="268"/>
      <c r="C369" s="266"/>
      <c r="D369" s="2090" t="s">
        <v>829</v>
      </c>
      <c r="E369" s="2091"/>
      <c r="F369" s="2091"/>
      <c r="G369" s="2088" t="str">
        <f>IF(AND(Garden_non_ESS_NC_units=0,SiF_Non_ESS_NC_Units=0,Other_Non_ESS_NC_units=0),"",Garden_non_ESS_NC_units+SiF_Non_ESS_NC_Units+Other_Non_ESS_NC_units)</f>
        <v/>
      </c>
      <c r="H369" s="2089" t="str">
        <f>IF(AND(Garden_non_ESS_NC_units=0,SiF_Non_ESS_NC_Units=0,Other_Non_ESS_NC_units=0),"",Garden_non_ESS_NC_units+SiF_Non_ESS_NC_Units+Other_Non_ESS_NC_units)</f>
        <v/>
      </c>
      <c r="I369" s="2079" t="str">
        <f>IF(G369="","",IF(County=DS_Select_One,"County input required",IF(OR(County="Broward",County="Miami-Dade",County="Palm Beach"),DS_SFNCGAW,DS_PFNCGAW)))</f>
        <v/>
      </c>
      <c r="J369" s="2189"/>
      <c r="K369" s="2189"/>
      <c r="L369" s="2114" t="str">
        <f t="shared" ref="L369:L375" si="0">IF(OR(G$376="",G369="",County=DS_Select_One),"",G369*I369/G$376)</f>
        <v/>
      </c>
      <c r="M369" s="2115"/>
      <c r="N369" s="2116"/>
      <c r="Q369" s="247"/>
    </row>
    <row r="370" spans="2:27" ht="20.100000000000001" customHeight="1">
      <c r="B370" s="268"/>
      <c r="C370" s="266"/>
      <c r="D370" s="2090" t="s">
        <v>828</v>
      </c>
      <c r="E370" s="2091"/>
      <c r="F370" s="2091"/>
      <c r="G370" s="2088" t="str">
        <f>IF(AND(Garden_ESS_NC_units=0,SiF_ESS_NC_Units=0,Other_ESS_NC_units=0),"",Garden_ESS_NC_units+SiF_ESS_NC_Units+Other_ESS_NC_units)</f>
        <v/>
      </c>
      <c r="H370" s="2089"/>
      <c r="I370" s="2079" t="str">
        <f>IF(G370="","",IF(County=DS_Select_One,"County input required",IF(OR(County="Broward",County="Miami-Dade",County="Palm Beach"),DS_SFNCGAE,DS_PFNCGAE)))</f>
        <v/>
      </c>
      <c r="J370" s="2080"/>
      <c r="K370" s="2080"/>
      <c r="L370" s="2114" t="str">
        <f t="shared" si="0"/>
        <v/>
      </c>
      <c r="M370" s="2115"/>
      <c r="N370" s="2116"/>
    </row>
    <row r="371" spans="2:27" ht="20.100000000000001" customHeight="1">
      <c r="B371" s="268"/>
      <c r="C371" s="266"/>
      <c r="D371" s="2090" t="s">
        <v>827</v>
      </c>
      <c r="E371" s="2091"/>
      <c r="F371" s="2091"/>
      <c r="G371" s="2088" t="str">
        <f>IF(MR_Non_ESS_NC_units=0,"",MR_Non_ESS_NC_units)</f>
        <v/>
      </c>
      <c r="H371" s="2089"/>
      <c r="I371" s="2079" t="str">
        <f>IF(G371="","",IF(County=DS_Select_One,"County input required",IF(OR(County="Broward",County="Miami-Dade",County="Palm Beach"),DS_SFNCMRW,DS_PFNCMRW)))</f>
        <v/>
      </c>
      <c r="J371" s="2080"/>
      <c r="K371" s="2080"/>
      <c r="L371" s="2095" t="str">
        <f t="shared" si="0"/>
        <v/>
      </c>
      <c r="M371" s="2096"/>
      <c r="N371" s="2097"/>
    </row>
    <row r="372" spans="2:27" ht="20.100000000000001" customHeight="1">
      <c r="B372" s="268"/>
      <c r="C372" s="266"/>
      <c r="D372" s="2090" t="s">
        <v>826</v>
      </c>
      <c r="E372" s="2091"/>
      <c r="F372" s="2091"/>
      <c r="G372" s="2088" t="str">
        <f>IF(MR_ESS_NC_units=0,"",MR_ESS_NC_units)</f>
        <v/>
      </c>
      <c r="H372" s="2089"/>
      <c r="I372" s="2079" t="str">
        <f>IF(G372="","",IF(County=DS_Select_One,"County input required",IF(OR(County="Broward",County="Miami-Dade",County="Palm Beach"),DS_SFNCMRE,DS_PFNCMRE)))</f>
        <v/>
      </c>
      <c r="J372" s="2080"/>
      <c r="K372" s="2080"/>
      <c r="L372" s="2095" t="str">
        <f t="shared" si="0"/>
        <v/>
      </c>
      <c r="M372" s="2096"/>
      <c r="N372" s="2097"/>
      <c r="O372" s="256"/>
      <c r="P372" s="256"/>
      <c r="Q372" s="271"/>
      <c r="R372" s="271"/>
      <c r="S372" s="271"/>
      <c r="T372" s="271"/>
      <c r="U372" s="271"/>
      <c r="Z372" s="271"/>
      <c r="AA372" s="271"/>
    </row>
    <row r="373" spans="2:27" ht="20.100000000000001" customHeight="1">
      <c r="B373" s="268"/>
      <c r="C373" s="266"/>
      <c r="D373" s="2090" t="s">
        <v>825</v>
      </c>
      <c r="E373" s="2091"/>
      <c r="F373" s="2091"/>
      <c r="G373" s="2088" t="str">
        <f>IF(HR_ESS_NC_units=0,"",HR_ESS_NC_units)</f>
        <v/>
      </c>
      <c r="H373" s="2089"/>
      <c r="I373" s="2079" t="str">
        <f>IF(G373="","",IF(County=DS_Select_One,"County input required",IF(OR(County="Broward",County="Miami-Dade",County="Palm Beach"),DS_SFNCHRE,DS_PFNCHRE)))</f>
        <v/>
      </c>
      <c r="J373" s="2080"/>
      <c r="K373" s="2080"/>
      <c r="L373" s="2095" t="str">
        <f t="shared" si="0"/>
        <v/>
      </c>
      <c r="M373" s="2096"/>
      <c r="N373" s="2097"/>
      <c r="O373" s="270"/>
      <c r="P373" s="270"/>
      <c r="Q373" s="248"/>
      <c r="R373" s="248"/>
      <c r="S373" s="266"/>
      <c r="T373" s="248"/>
      <c r="U373" s="248"/>
      <c r="Z373" s="248"/>
      <c r="AA373" s="269"/>
    </row>
    <row r="374" spans="2:27" ht="20.100000000000001" customHeight="1">
      <c r="B374" s="268"/>
      <c r="C374" s="266"/>
      <c r="D374" s="2090" t="s">
        <v>824</v>
      </c>
      <c r="E374" s="2091"/>
      <c r="F374" s="2091"/>
      <c r="G374" s="2088" t="str">
        <f>IF(AND(Garden_ESS_Rehab_units=0,Garden_non_ESS_Rehab_units=0,Other_ESS_Rehab_units=0,Other_non_ESS_Rehab_units=0),"",Garden_ESS_Rehab_units+Garden_non_ESS_Rehab_units+Other_ESS_Rehab_units+Other_non_ESS_Rehab_units)</f>
        <v/>
      </c>
      <c r="H374" s="2089"/>
      <c r="I374" s="2079" t="str">
        <f>IF(G374="","",IF(County=DS_Select_One,"County input required",IF(OR(County="Broward",County="Miami-Dade",County="Palm Beach"),DS_SFRCGA,DS_PFRCGA)))</f>
        <v/>
      </c>
      <c r="J374" s="2080"/>
      <c r="K374" s="2080"/>
      <c r="L374" s="2095" t="str">
        <f t="shared" si="0"/>
        <v/>
      </c>
      <c r="M374" s="2096"/>
      <c r="N374" s="2097"/>
      <c r="O374" s="267"/>
      <c r="P374" s="267"/>
      <c r="Q374" s="265"/>
      <c r="R374" s="265"/>
      <c r="S374" s="266"/>
      <c r="T374" s="265"/>
      <c r="U374" s="265"/>
      <c r="V374" s="265"/>
      <c r="W374" s="265"/>
      <c r="X374" s="266"/>
      <c r="Y374" s="265"/>
      <c r="Z374" s="265"/>
      <c r="AA374" s="264"/>
    </row>
    <row r="375" spans="2:27" ht="20.100000000000001" customHeight="1" thickBot="1">
      <c r="B375" s="268"/>
      <c r="C375" s="266"/>
      <c r="D375" s="2090" t="s">
        <v>823</v>
      </c>
      <c r="E375" s="2092"/>
      <c r="F375" s="2092"/>
      <c r="G375" s="2088" t="str">
        <f>IF(AND(MR_and_HR_ESS_Rehab_units=0,MR_and_HR_non_ESS_Rehab_units=0),"",MR_and_HR_ESS_Rehab_units+MR_and_HR_non_ESS_Rehab_units)</f>
        <v/>
      </c>
      <c r="H375" s="2089"/>
      <c r="I375" s="2079" t="str">
        <f>IF(G375="","",IF(County=DS_Select_One,"County input required",IF(OR(County="Broward",County="Miami-Dade",County="Palm Beach"),DS_SFRCNG,DS_PFRCNG)))</f>
        <v/>
      </c>
      <c r="J375" s="2081"/>
      <c r="K375" s="2082"/>
      <c r="L375" s="2095" t="str">
        <f t="shared" si="0"/>
        <v/>
      </c>
      <c r="M375" s="2098"/>
      <c r="N375" s="2097"/>
      <c r="O375" s="267"/>
      <c r="P375" s="267"/>
      <c r="Q375" s="729"/>
      <c r="R375" s="730"/>
      <c r="S375" s="266"/>
      <c r="T375" s="265"/>
      <c r="U375" s="265"/>
      <c r="V375" s="265"/>
      <c r="W375" s="265"/>
      <c r="X375" s="266"/>
      <c r="Y375" s="265"/>
      <c r="Z375" s="265"/>
      <c r="AA375" s="264"/>
    </row>
    <row r="376" spans="2:27" ht="30" customHeight="1" thickTop="1" thickBot="1">
      <c r="B376" s="263"/>
      <c r="C376" s="1427"/>
      <c r="D376" s="2093" t="s">
        <v>822</v>
      </c>
      <c r="E376" s="2094"/>
      <c r="F376" s="2094"/>
      <c r="G376" s="2187" t="str">
        <f>IF(SUM(G369:G375)&gt;0,SUM(G369:G375),"")</f>
        <v/>
      </c>
      <c r="H376" s="2188"/>
      <c r="I376" s="2083"/>
      <c r="J376" s="2084"/>
      <c r="K376" s="2084"/>
      <c r="L376" s="2190" t="str">
        <f>IF(G376="","",SUM(L369:L375))</f>
        <v/>
      </c>
      <c r="M376" s="2191"/>
      <c r="N376" s="2192"/>
      <c r="Q376" s="731"/>
      <c r="R376" s="731"/>
      <c r="S376" s="731"/>
    </row>
    <row r="377" spans="2:27" ht="9.75" customHeight="1">
      <c r="B377" s="263"/>
      <c r="C377" s="262"/>
      <c r="D377" s="2196" t="s">
        <v>821</v>
      </c>
      <c r="E377" s="2196"/>
      <c r="F377" s="2196"/>
      <c r="G377" s="2196"/>
      <c r="H377" s="2196"/>
      <c r="I377" s="2196"/>
      <c r="J377" s="2196"/>
      <c r="K377" s="2196"/>
      <c r="L377" s="2196"/>
      <c r="M377" s="2196"/>
      <c r="N377" s="2196"/>
      <c r="Q377" s="261"/>
      <c r="R377" s="261"/>
      <c r="S377" s="261"/>
    </row>
    <row r="378" spans="2:27" ht="15" customHeight="1">
      <c r="C378" s="732"/>
      <c r="D378" s="2197"/>
      <c r="E378" s="2197"/>
      <c r="F378" s="2197"/>
      <c r="G378" s="2197"/>
      <c r="H378" s="2197"/>
      <c r="I378" s="2197"/>
      <c r="J378" s="2197"/>
      <c r="K378" s="2197"/>
      <c r="L378" s="2197"/>
      <c r="M378" s="2197"/>
      <c r="N378" s="2197"/>
      <c r="O378" s="732"/>
      <c r="Q378" s="716"/>
      <c r="R378" s="716"/>
      <c r="S378" s="716"/>
    </row>
    <row r="379" spans="2:27" ht="7.95" customHeight="1">
      <c r="B379" s="732"/>
      <c r="C379" s="732"/>
      <c r="D379" s="732"/>
      <c r="E379" s="732"/>
      <c r="F379" s="732"/>
      <c r="G379" s="732"/>
      <c r="H379" s="732"/>
      <c r="I379" s="732"/>
      <c r="J379" s="732"/>
      <c r="K379" s="732"/>
      <c r="L379" s="732"/>
      <c r="M379" s="732"/>
      <c r="N379" s="732"/>
      <c r="O379" s="732"/>
      <c r="Q379" s="716"/>
      <c r="R379" s="716"/>
      <c r="S379" s="716"/>
    </row>
    <row r="380" spans="2:27">
      <c r="B380" s="259"/>
      <c r="C380" s="236" t="s">
        <v>820</v>
      </c>
      <c r="L380" s="2203" t="str">
        <f>IF(TDC_Base_Limit=0,"County input required",TDC_Base_Limit)</f>
        <v/>
      </c>
      <c r="M380" s="2203"/>
      <c r="N380" s="2203"/>
    </row>
    <row r="381" spans="2:27" ht="7.95" customHeight="1">
      <c r="B381" s="259"/>
      <c r="K381" s="2186"/>
      <c r="L381" s="2186"/>
      <c r="M381" s="2186"/>
    </row>
    <row r="382" spans="2:27">
      <c r="B382" s="259"/>
      <c r="C382" s="236" t="s">
        <v>1288</v>
      </c>
    </row>
    <row r="383" spans="2:27" ht="7.95" customHeight="1">
      <c r="K383" s="2186"/>
      <c r="L383" s="2186"/>
      <c r="M383" s="2186"/>
    </row>
    <row r="384" spans="2:27" ht="15" customHeight="1">
      <c r="C384" s="637" t="s">
        <v>1190</v>
      </c>
      <c r="D384" s="637"/>
      <c r="E384" s="637"/>
      <c r="F384" s="637"/>
      <c r="G384" s="637"/>
      <c r="H384" s="637"/>
      <c r="I384" s="637"/>
      <c r="J384" s="637"/>
      <c r="K384" s="737" t="s">
        <v>1276</v>
      </c>
      <c r="L384" s="2198" t="s">
        <v>1278</v>
      </c>
      <c r="M384" s="2198"/>
      <c r="N384" s="2198"/>
      <c r="O384" s="738"/>
      <c r="P384" s="637"/>
      <c r="U384" s="247"/>
    </row>
    <row r="385" spans="3:27" ht="15" customHeight="1">
      <c r="C385" s="637"/>
      <c r="D385" s="637" t="str">
        <f>IF(OR(PHA_land_lease="Yes",PHA_as_Principal="Yes"),"PHA is a Principal/Affiliate Add-On",IF(HOME_Request_Amount&gt;0,"Requesting HOME funds from FHFC Add-On",IF(Non_Competitive_HC_Request_Amount&gt;0,"Tax-Exempt Bond Add-On","No applicable Add-Ons")))</f>
        <v>No applicable Add-Ons</v>
      </c>
      <c r="E385" s="637"/>
      <c r="F385" s="637"/>
      <c r="G385" s="637"/>
      <c r="H385" s="637"/>
      <c r="I385" s="637"/>
      <c r="J385" s="637"/>
      <c r="K385" s="1202" t="str">
        <f>IF(OR(PHA_land_lease="Yes",PHA_as_Principal="Yes"),DS_PHA_FED_ADDON,IF(HOME_Request_Amount&gt;0,DS_PHA_FED_ADDON,IF(Non_Competitive_HC_Request_Amount&gt;0,DS_Bond_ADDON,"")))</f>
        <v/>
      </c>
      <c r="L385" s="2199">
        <f>IF(OR($K$365="County input required",N(TDC_Base_Limit)=0),0,IF(N(K385)&gt;0,TDC_Base_Limit+N(K385),TDC_Base_Limit))</f>
        <v>0</v>
      </c>
      <c r="M385" s="2199"/>
      <c r="N385" s="2199"/>
      <c r="O385" s="637"/>
      <c r="P385" s="637"/>
      <c r="Q385" s="637"/>
    </row>
    <row r="386" spans="3:27" ht="15" customHeight="1">
      <c r="C386" s="637"/>
      <c r="D386" s="736" t="str">
        <f>IF(AND(OR($D$385="PHA is a Principal/Affiliate Add-On",$D$385="Requesting HOME funds from FHFC Add-On",$D$385="Requesting CDBG-DR funde from FHFC Add-On"),Non_Competitive_HC_Request_Amount&gt;0),"Tax-Exempt Bond Add-On","")</f>
        <v/>
      </c>
      <c r="E386" s="637"/>
      <c r="F386" s="637"/>
      <c r="G386" s="637"/>
      <c r="H386" s="637"/>
      <c r="I386" s="637"/>
      <c r="J386" s="637"/>
      <c r="K386" s="1202" t="str">
        <f>IF(AND(Non_Competitive_HC_Request_Amount&gt;0,D386="Tax-Exempt Bond Add-On"),DS_Bond_ADDON,"")</f>
        <v/>
      </c>
      <c r="L386" s="2199" t="str">
        <f>IF($K$365="County input required","",IF(N(K386)&gt;0,N(K386)+N(L385),""))</f>
        <v/>
      </c>
      <c r="M386" s="2199"/>
      <c r="N386" s="2199"/>
      <c r="O386" s="637"/>
      <c r="P386" s="637"/>
    </row>
    <row r="387" spans="3:27" ht="7.95" customHeight="1">
      <c r="C387" s="637"/>
      <c r="D387" s="637"/>
      <c r="E387" s="637"/>
      <c r="F387" s="637"/>
      <c r="G387" s="637"/>
      <c r="H387" s="637"/>
      <c r="I387" s="637"/>
      <c r="J387" s="637"/>
      <c r="K387" s="723"/>
      <c r="L387" s="723"/>
      <c r="M387" s="723"/>
      <c r="N387" s="637"/>
      <c r="O387" s="637"/>
      <c r="P387" s="637"/>
    </row>
    <row r="388" spans="3:27" ht="15" customHeight="1">
      <c r="C388" s="637" t="s">
        <v>1191</v>
      </c>
      <c r="D388" s="637"/>
      <c r="E388" s="637"/>
      <c r="F388" s="637"/>
      <c r="G388" s="637"/>
      <c r="H388" s="637"/>
      <c r="I388" s="637"/>
      <c r="J388" s="637"/>
      <c r="K388" s="737" t="s">
        <v>1277</v>
      </c>
      <c r="L388" s="2198" t="s">
        <v>1278</v>
      </c>
      <c r="M388" s="2198"/>
      <c r="N388" s="2198"/>
      <c r="O388" s="738"/>
      <c r="P388" s="637"/>
    </row>
    <row r="389" spans="3:27" ht="15" customHeight="1">
      <c r="C389" s="637"/>
      <c r="D389" s="247" t="str">
        <f>IF(AND(County="Monroe",FLKeys_N_S="North Florida Keys Area"),"Geographic Multiplier for North Florida Keys Area",IF(AND(County="Monroe",FLKeys_N_S="South Florida Keys Area"),"Geographic Multiplier for South Florida Keys Area",IF(Demographic="Persons with Developmental Disabilities","Non-Geographic Multiplier for Persons with Developmental Disabilities",IF(Demographic="Persons with a Disabiling Condition","Non-Geographic Multiplier for Persons with a Disabiling Condition",IF(AND(OR(Demographic="Persons with Developmental Disabilities",Demographic="Persons with a Disabiling Condition"),ConstrFeaturesMultiplier="Yes"),"Non-Geographic Multiplier for Enhanced Construction Features",IF(Demographic="Persons with Special Needs","Non-Geographic Multiplier for Persons with Special Needs",IF(Demographic="Homeless","Non-Geographic Multiplier for Homeless",IF(Demographic="Elderly Non-ALF","Non-Geographic Multiplier for Elderly Non-ALF",IF(AND(County&lt;&gt;"Monroe",OR(Demographic="Persons with Developmental Disabilities",Demographic="Persons with a Disabiling Condition"),Total_Units&lt;51),"Non-Geographic Multiplier for fewer than 51 Units",IF(AND(County&lt;&gt;"Monroe",OR(Demographic="Persons with Developmental Disabilities",Demographic="Persons with a Disabiling Condition"),AND(Total_Units&gt;50,Total_Units&lt;81)),"Non-Geographic Multiplier for 51 to 80 Units","No applicable Multipliers"))))))))))</f>
        <v>Non-Geographic Multiplier for Persons with Special Needs</v>
      </c>
      <c r="E389" s="637"/>
      <c r="F389" s="637"/>
      <c r="G389" s="637"/>
      <c r="H389" s="637"/>
      <c r="I389" s="637"/>
      <c r="J389" s="637"/>
      <c r="K389" s="1209" t="str">
        <f>IF($K$365="County input required","",IF($D$389="Geographic Multiplier for North Florida Keys Area",DS_N_Keys_Multiplier,IF($D$389="Geographic Multiplier for South Florida Keys Area",DS_S_Keys_Multiplier,IF($D$389="Non-Geographic Multiplier for Persons with Developmental Disabilities",DS_Demo_Multiplier,IF($D$389="Non-Geographic Multiplier for Persons with a Disabiling Condition",DS_Demo_Multiplier,IF($D$389="Non-Geographic Multiplier for Enhanced Construction Features",DS_Constr_Feat_Multiplier,IF($D$389="Non-Geographic Multiplier for Persons with Special Needs",DS_Demo_Multiplier,IF($D$389="Non-Geographic Multiplier for Homeless",DS_Demo_Multiplier,IF($D$389="Non-Geographic Multiplier for Elderly Non-ALF",DS_Elderly_ALF_Multiplier,IF($D$389="Non-Geographic Multiplier for fewer than 51 Units",DS_PDDDC_51_Multiplier,IF($D$389="Non-Geographic Multiplier for 51 to 80 Units",DS_PDDDC_81_Multiplier,"100%")))))))))))</f>
        <v/>
      </c>
      <c r="L389" s="2200">
        <f>IF($K$365="County input required",0,IF(N(K389)&gt;0,MAX(N(L385),N(L386))/N(K389),N(L386)))</f>
        <v>0</v>
      </c>
      <c r="M389" s="2200"/>
      <c r="N389" s="2200"/>
      <c r="O389" s="637"/>
      <c r="P389" s="637"/>
    </row>
    <row r="390" spans="3:27" ht="15" customHeight="1">
      <c r="D390" s="247" t="str">
        <f>IF(AND(Demographic="Persons with Developmental Disabilities",$D$389&lt;&gt;"Non-Geographic Multiplier for Persons with Developmental Disabilities"),"Non-Geographic Multiplier for Persons with Developmental Disabilities",IF(AND(Demographic="Persons with a Disabiling Condition",$D$389&lt;&gt;"Non-Geographic Multiplier for Persons with a Disabiling Condition"),"Non-Geographic Multiplier for Persons with a Disabiling Condition",IF(AND(OR(Demographic="Persons with a Disabiling Condition",Demographic="Persons with Developmental Disabilities"),ConstrFeaturesMultiplier="Yes"),"Non-Geographic Multiplier for Enhanced Construction Features",IF(AND(Demographic="Persons with Special Needs",$D$389&lt;&gt;"Non-Geographic Multiplier for Persons with Special Needs"),"Non-Geographic Multiplier for Persons with Special Needs",IF(AND(Demographic="Homeless",$D$389&lt;&gt;"Non-Geographic Multiplier for Homeless"),"Non-Geographic Multiplier for Homeless",IF(AND(Demographic="Elderly Non-ALF",$D$389&lt;&gt;"Non-Geographic Multiplier for Elderly Non-ALF"),"Non-Geographic Multiplier for Elderly Non-ALF",IF(AND(County&lt;&gt;"Monroe",OR(Demographic="Persons with Developmental Disabilities",Demographic="Persons with a Disabiling Condition"),Total_Units&lt;51),"Non-Geographic Multiplier for fewer than 51 Units",IF(AND(County&lt;&gt;"Monroe",OR(Demographic="Persons with Developmental Disabilities",Demographic="Persons with a Disabiling Condition"),AND(Total_Units&gt;50,Total_Units&lt;81)),"Non-Geographic Multiplier for 51 to 80 Units",""))))))))</f>
        <v/>
      </c>
      <c r="K390" s="1209" t="str">
        <f>IF($K$365="County input required","",IF($D$390="Geographic Multiplier for North Florida Keys Area",DS_N_Keys_Multiplier,IF($D$390="Geographic Multiplier for South Florida Keys Area",DS_S_Keys_Multiplier,IF($D$390="Non-Geographic Multiplier for Persons with Developmental Disabilities",DS_Demo_Multiplier,IF($D$390="Non-Geographic Multiplier for Persons with a Disabiling Condition",DS_Demo_Multiplier,IF($D$390="Non-Geographic Multiplier for Enhanced Construction Features",DS_Constr_Feat_Multiplier,IF($D$390="Non-Geographic Multiplier for Persons with Special Needs",DS_Demo_Multiplier,IF($D$390="Non-Geographic Multiplier for Homeless",DS_Demo_Multiplier,IF($D$390="Non-Geographic Multiplier for Elderly Non-ALF",DS_Elderly_ALF_Multiplier,IF($D$390="Non-Geographic Multiplier for fewer than 51 Units",DS_PDDDC_51_Multiplier,IF($D$390="Non-Geographic Multiplier for 51 to 80 Units",DS_PDDDC_81_Multiplier,"")))))))))))</f>
        <v/>
      </c>
      <c r="L390" s="2201" t="str">
        <f>IF($K$365="County input required","",IF(N(K390)&gt;0,N(L389)/N(K390),""))</f>
        <v/>
      </c>
      <c r="M390" s="2201"/>
      <c r="N390" s="2201"/>
    </row>
    <row r="391" spans="3:27" ht="15" customHeight="1">
      <c r="D391" s="247" t="str">
        <f>IF(AND(Demographic="Persons with Developmental Disabilities",$D$389&lt;&gt;"Non-Geographic Multiplier for Persons with Developmental Disabilities",$D$390&lt;&gt;"Non-Geographic Multiplier for Persons with Developmental Disabilities"),"Non-Geographic Multiplier for Persons with Developmental Disabilities",IF(AND(Demographic="Persons with a Disabiling Condition",$D$389&lt;&gt;"Non-Geographic Multiplier for Persons with a Disabiling Condition",$D$390&lt;&gt;"Non-Geographic Multiplier for Persons with a Disabiling Condition"),"Non-Geographic Multiplier for Persons with a Disabiling Condition",IF(AND(OR(Demographic="Persons with a Disabiling Condition",Demographic="Persons with Developmental Disabilities"),ConstrFeaturesMultiplier="Yes",$D$389&lt;&gt;"Non-Geographic Multiplier for Enhanced Construction Features",$D$390&lt;&gt;"Non-Geographic Multiplier for Enhanced Construction Features"),"Non-Geographic Multiplier for Enhanced Construction Features",IF(AND(Demographic="Persons with Special Needs",$D$389&lt;&gt;"Non-Geographic Multiplier for Persons with Special Needs",$D$390&lt;&gt;"Non-Geographic Multiplier for Persons with Special Needs"),"Non-Geographic Multiplier for Persons with Special Needs",IF(AND(Demographic="Homeless",$D$389&lt;&gt;"Non-Geographic Multiplier for Homeless",$D$390&lt;&gt;"Non-Geographic Multiplier for Homeless"),"Non-Geographic Multiplier for Homeless",IF(AND(Demographic="Elderly Non-ALF",$D$389&lt;&gt;"Non-Geographic Multiplier for Elderly Non-ALF",$D$390&lt;&gt;"Non-Geographic Multiplier for Elderly Non-ALF"),"Non-Geographic Multiplier for Elderly Non-ALF",IF(AND(County&lt;&gt;"Monroe",OR(Demographic="Persons with Developmental Disabilities",Demographic="Persons with a Disabiling Condition"),Total_Units&lt;51,$D$389&lt;&gt;"Non-Geographic Multiplier for fewer than 51 Units",$D$390&lt;&gt;"Non-Geographic Multiplier for fewer than 51 Units"),"Non-Geographic Multiplier for fewer than 51 Units",IF(AND(County&lt;&gt;"Monroe",OR(Demographic="Persons with Developmental Disabilities",Demographic="Persons with a Disabiling Condition"),AND(Total_Units&gt;50,Total_Units&lt;81),$D$389&lt;&gt;"Non-Geographic Multiplier for 51 to 80 Units",$D$390&lt;&gt;"Non-Geographic Multiplier for 51 to 80 Units"),"Non-Geographic Multiplier for 51 to 80 Units",""))))))))</f>
        <v/>
      </c>
      <c r="K391" s="1209" t="str">
        <f>IF($K$365="County input required","",IF($D$391="Geographic Multiplier for North Florida Keys Area",DS_N_Keys_Multiplier,IF($D$391="Geographic Multiplier for South Florida Keys Area",DS_S_Keys_Multiplier,IF($D$391="Non-Geographic Multiplier for Persons with Developmental Disabilities",DS_Demo_Multiplier,IF($D$391="Non-Geographic Multiplier for Persons with a Disabiling Condition",DS_Demo_Multiplier,IF($D$391="Non-Geographic Multiplier for Enhanced Construction Features",DS_Constr_Feat_Multiplier,IF($D$391="Non-Geographic Multiplier for Persons with Special Needs",DS_Demo_Multiplier,IF($D$391="Non-Geographic Multiplier for Homeless",DS_Demo_Multiplier,IF($D$391="Non-Geographic Multiplier for Elderly Non-ALF",DS_Elderly_ALF_Multiplier,IF($D$391="Non-Geographic Multiplier for fewer than 51 Units",DS_PDDDC_51_Multiplier,IF($D$391="Non-Geographic Multiplier for 51 to 80 Units",DS_PDDDC_81_Multiplier,"")))))))))))</f>
        <v/>
      </c>
      <c r="L391" s="2201" t="str">
        <f>IF($K$365="County input required","",IF(N(K391)&gt;0,N(L390)/N(K391),""))</f>
        <v/>
      </c>
      <c r="M391" s="2201"/>
      <c r="N391" s="2201"/>
    </row>
    <row r="392" spans="3:27" ht="7.95" customHeight="1">
      <c r="D392" s="637"/>
      <c r="K392" s="715"/>
      <c r="L392" s="2202"/>
      <c r="M392" s="2202"/>
      <c r="N392" s="2202"/>
    </row>
    <row r="393" spans="3:27" ht="15.75" customHeight="1" thickBot="1">
      <c r="C393" s="260" t="s">
        <v>1289</v>
      </c>
      <c r="L393" s="2204" t="str">
        <f>IF(County=DS_Select_One,"County input required",IF(L389&gt;0,MAX(L389:L391),"TBD"))</f>
        <v>County input required</v>
      </c>
      <c r="M393" s="2204"/>
      <c r="N393" s="2204"/>
      <c r="O393" s="656"/>
      <c r="P393" s="656"/>
      <c r="Q393" s="656"/>
      <c r="R393" s="656"/>
      <c r="S393" s="656"/>
    </row>
    <row r="394" spans="3:27" ht="7.95" customHeight="1" thickTop="1">
      <c r="K394" s="2202"/>
      <c r="L394" s="2202"/>
      <c r="M394" s="2202"/>
    </row>
    <row r="395" spans="3:27">
      <c r="C395" s="258" t="s">
        <v>819</v>
      </c>
    </row>
    <row r="396" spans="3:27" ht="7.95" customHeight="1">
      <c r="K396" s="2186"/>
      <c r="L396" s="2186"/>
      <c r="M396" s="2186"/>
    </row>
    <row r="397" spans="3:27">
      <c r="C397" s="236" t="s">
        <v>1290</v>
      </c>
      <c r="K397" s="733"/>
      <c r="L397" s="2099">
        <f>IF(OR(N(TDC_total)=0,N(TDC_total)="TBD"),0,TDC_total)</f>
        <v>0</v>
      </c>
      <c r="M397" s="2099"/>
      <c r="N397" s="2099"/>
      <c r="O397" s="637"/>
    </row>
    <row r="398" spans="3:27" ht="7.95" customHeight="1">
      <c r="K398" s="734"/>
      <c r="L398" s="997"/>
      <c r="M398" s="997"/>
      <c r="N398" s="637"/>
    </row>
    <row r="399" spans="3:27">
      <c r="C399" s="236" t="s">
        <v>1291</v>
      </c>
      <c r="K399" s="733"/>
      <c r="L399" s="2099">
        <f>IF(OR(Acquisition_total=0,Acquisition_total=""),0,Acquisition_total)</f>
        <v>0</v>
      </c>
      <c r="M399" s="2099"/>
      <c r="N399" s="2099"/>
      <c r="Q399" s="739"/>
      <c r="R399" s="637"/>
      <c r="S399" s="637"/>
      <c r="T399" s="637"/>
      <c r="U399" s="637"/>
      <c r="V399" s="637"/>
      <c r="W399" s="637"/>
      <c r="X399" s="637"/>
      <c r="Y399" s="637"/>
      <c r="Z399" s="637"/>
      <c r="AA399" s="637"/>
    </row>
    <row r="400" spans="3:27" ht="7.95" customHeight="1">
      <c r="D400" s="257"/>
      <c r="K400" s="734"/>
      <c r="L400" s="998"/>
      <c r="M400" s="998"/>
      <c r="N400" s="637"/>
    </row>
    <row r="401" spans="1:17">
      <c r="C401" s="236" t="s">
        <v>1292</v>
      </c>
      <c r="K401" s="733"/>
      <c r="L401" s="2099">
        <f>IF(OR(Land_total=0,Land_total=""),0,Land_total)</f>
        <v>0</v>
      </c>
      <c r="M401" s="2099"/>
      <c r="N401" s="2099"/>
    </row>
    <row r="402" spans="1:17" ht="7.95" customHeight="1">
      <c r="K402" s="734"/>
      <c r="L402" s="997"/>
      <c r="M402" s="997"/>
      <c r="N402" s="637"/>
    </row>
    <row r="403" spans="1:17">
      <c r="C403" s="236" t="s">
        <v>1293</v>
      </c>
      <c r="K403" s="733"/>
      <c r="L403" s="2099">
        <f>IF(OR(ODR_total=0,ODR_total=""),0,ODR_total)</f>
        <v>0</v>
      </c>
      <c r="M403" s="2099"/>
      <c r="N403" s="2099"/>
    </row>
    <row r="404" spans="1:17" ht="7.95" customHeight="1">
      <c r="K404" s="734"/>
      <c r="L404" s="997"/>
      <c r="M404" s="997"/>
      <c r="N404" s="637"/>
    </row>
    <row r="405" spans="1:17">
      <c r="C405" s="236" t="s">
        <v>1294</v>
      </c>
      <c r="K405" s="733"/>
      <c r="L405" s="2099">
        <f>IF(OR($D$385="PHA is a Principal/Affiliate Add-On",$D$386="PHA is a Principal/Affiliate Add-On"),N(Actual_Demolition_total)+N(General_relocation_total),0)</f>
        <v>0</v>
      </c>
      <c r="M405" s="2099"/>
      <c r="N405" s="2099"/>
      <c r="Q405" s="724"/>
    </row>
    <row r="406" spans="1:17" ht="7.95" customHeight="1">
      <c r="K406" s="734"/>
      <c r="L406" s="998"/>
      <c r="M406" s="998"/>
      <c r="N406" s="637"/>
    </row>
    <row r="407" spans="1:17">
      <c r="C407" s="236" t="s">
        <v>1295</v>
      </c>
      <c r="K407" s="733"/>
      <c r="L407" s="2099">
        <f>IF(OR(Actual_Comm_Retail_total=0,Actual_Comm_Retail_total=""),0,Actual_Comm_Retail_total)</f>
        <v>0</v>
      </c>
      <c r="M407" s="2099"/>
      <c r="N407" s="2099"/>
    </row>
    <row r="408" spans="1:17" ht="7.95" customHeight="1">
      <c r="K408" s="734"/>
      <c r="L408" s="998"/>
      <c r="M408" s="998"/>
      <c r="N408" s="637"/>
    </row>
    <row r="409" spans="1:17">
      <c r="C409" s="236" t="s">
        <v>1296</v>
      </c>
      <c r="K409" s="733"/>
      <c r="L409" s="2099">
        <f>L397-L399-L401-L403-L405-L407</f>
        <v>0</v>
      </c>
      <c r="M409" s="2099"/>
      <c r="N409" s="2099"/>
    </row>
    <row r="410" spans="1:17" ht="7.95" customHeight="1">
      <c r="K410" s="734"/>
      <c r="L410" s="997"/>
      <c r="M410" s="997"/>
      <c r="N410" s="637"/>
    </row>
    <row r="411" spans="1:17" ht="13.8" thickBot="1">
      <c r="C411" s="260" t="s">
        <v>1297</v>
      </c>
      <c r="K411" s="733"/>
      <c r="L411" s="2193">
        <f>IF(OR(N(Total_Units)=0,N(Total_Units)=""),0,L409/N(Total_Units))</f>
        <v>0</v>
      </c>
      <c r="M411" s="2193"/>
      <c r="N411" s="2193"/>
    </row>
    <row r="412" spans="1:17" ht="7.95" customHeight="1" thickTop="1">
      <c r="K412" s="734"/>
      <c r="L412" s="734"/>
      <c r="M412" s="734"/>
      <c r="N412" s="637"/>
    </row>
    <row r="413" spans="1:17">
      <c r="C413" s="236" t="s">
        <v>818</v>
      </c>
      <c r="K413" s="733"/>
      <c r="L413" s="2194" t="str">
        <f>IF(AND(N(FO_TDC_PU_Limit)&gt;0,N(L411)&gt;0),IF(L411&lt;=N(FO_TDC_PU_Limit),"Yes","No"),"TBD")</f>
        <v>TBD</v>
      </c>
      <c r="M413" s="2194"/>
      <c r="N413" s="2194"/>
    </row>
    <row r="414" spans="1:17">
      <c r="D414" s="236" t="s">
        <v>817</v>
      </c>
      <c r="K414" s="733"/>
      <c r="L414" s="2195"/>
      <c r="M414" s="2195"/>
      <c r="N414" s="2195"/>
      <c r="P414" s="872" t="str">
        <f>IF(L413="No","**","")</f>
        <v/>
      </c>
    </row>
    <row r="415" spans="1:17" ht="6" customHeight="1" thickBot="1"/>
    <row r="416" spans="1:17" ht="3.75" customHeight="1">
      <c r="A416" s="254"/>
      <c r="B416" s="254"/>
      <c r="C416" s="254"/>
      <c r="D416" s="254"/>
      <c r="E416" s="254"/>
      <c r="F416" s="254"/>
      <c r="G416" s="254"/>
      <c r="H416" s="254"/>
      <c r="I416" s="254"/>
      <c r="J416" s="254"/>
      <c r="K416" s="254"/>
      <c r="L416" s="254"/>
      <c r="M416" s="254"/>
      <c r="N416" s="254"/>
      <c r="O416" s="254"/>
      <c r="P416" s="254"/>
    </row>
    <row r="417" spans="1:22" s="851" customFormat="1" ht="12.6" hidden="1" customHeight="1">
      <c r="B417" s="250" t="str">
        <f>B$2</f>
        <v>RFA 2022-109 DEVELOPMENT COST PRO FORMA</v>
      </c>
      <c r="O417" s="253"/>
      <c r="P417" s="252" t="str">
        <f>IF($Q$417=1,"(Page 8 of 8)","NA")</f>
        <v>NA</v>
      </c>
      <c r="Q417" s="588">
        <v>0</v>
      </c>
      <c r="R417" s="390">
        <f>IF(Q417&lt;&gt;0,Q417,0)</f>
        <v>0</v>
      </c>
      <c r="S417" s="894" t="str">
        <f>CHOOSE(Q417+1,"Not to be included in this RFA","A REQUIRED input field for this RFA","An OPTIONAL input field for this RFA")</f>
        <v>Not to be included in this RFA</v>
      </c>
    </row>
    <row r="418" spans="1:22" s="851" customFormat="1" ht="12.6" hidden="1" customHeight="1">
      <c r="B418" s="250"/>
      <c r="O418" s="253"/>
      <c r="P418" s="852"/>
    </row>
    <row r="419" spans="1:22" s="851" customFormat="1" ht="12.6" hidden="1" customHeight="1">
      <c r="B419" s="250" t="s">
        <v>2134</v>
      </c>
      <c r="O419" s="253"/>
      <c r="P419" s="852"/>
    </row>
    <row r="420" spans="1:22" s="851" customFormat="1" ht="12.6" hidden="1" customHeight="1">
      <c r="B420" s="250"/>
      <c r="O420" s="253"/>
      <c r="P420" s="852"/>
    </row>
    <row r="421" spans="1:22" s="851" customFormat="1" ht="12.6" hidden="1" customHeight="1">
      <c r="B421" s="974" t="s">
        <v>1486</v>
      </c>
      <c r="C421" s="974"/>
      <c r="D421" s="974"/>
      <c r="E421" s="974"/>
      <c r="F421" s="974"/>
      <c r="G421" s="974"/>
      <c r="H421" s="974"/>
      <c r="I421" s="974"/>
      <c r="J421" s="974"/>
      <c r="K421" s="974"/>
    </row>
    <row r="422" spans="1:22" s="851" customFormat="1" ht="12.6" hidden="1" customHeight="1">
      <c r="B422" s="974" t="s">
        <v>1487</v>
      </c>
      <c r="C422" s="974"/>
      <c r="D422" s="974"/>
      <c r="E422" s="974"/>
      <c r="F422" s="974"/>
      <c r="G422" s="974"/>
      <c r="H422" s="974"/>
      <c r="I422" s="974"/>
      <c r="J422" s="974"/>
      <c r="K422" s="974"/>
    </row>
    <row r="423" spans="1:22" s="851" customFormat="1" ht="12.6" hidden="1" customHeight="1">
      <c r="B423" s="974"/>
      <c r="C423" s="974"/>
      <c r="D423" s="974"/>
      <c r="E423" s="974"/>
      <c r="F423" s="974"/>
      <c r="G423" s="974"/>
      <c r="H423" s="974"/>
      <c r="I423" s="974"/>
      <c r="J423" s="974"/>
      <c r="K423" s="974"/>
    </row>
    <row r="424" spans="1:22" s="851" customFormat="1" ht="12.6" hidden="1" customHeight="1">
      <c r="B424" s="258" t="s">
        <v>1372</v>
      </c>
    </row>
    <row r="425" spans="1:22" s="851" customFormat="1" ht="12.6" hidden="1" customHeight="1"/>
    <row r="426" spans="1:22" s="851" customFormat="1" ht="12.6" hidden="1" customHeight="1">
      <c r="B426" s="762" t="s">
        <v>682</v>
      </c>
      <c r="C426" s="260" t="s">
        <v>1373</v>
      </c>
    </row>
    <row r="427" spans="1:22" s="851" customFormat="1" ht="12.6" hidden="1" customHeight="1">
      <c r="C427" s="851" t="s">
        <v>1465</v>
      </c>
      <c r="L427" s="2077">
        <f>N(Acquisition_total)+N(Land_total)</f>
        <v>0</v>
      </c>
      <c r="M427" s="2077"/>
      <c r="N427" s="2077"/>
    </row>
    <row r="428" spans="1:22" s="851" customFormat="1" ht="12.6" hidden="1" customHeight="1">
      <c r="D428" s="851" t="s">
        <v>1466</v>
      </c>
      <c r="L428" s="2078">
        <f>IF(N(Land_total)&gt;0,N(Land_total),0)</f>
        <v>0</v>
      </c>
      <c r="M428" s="2078"/>
      <c r="N428" s="2078"/>
    </row>
    <row r="429" spans="1:22" s="851" customFormat="1" ht="12.6" hidden="1" customHeight="1">
      <c r="D429" s="851" t="s">
        <v>1467</v>
      </c>
      <c r="L429" s="2078">
        <f>N(Developer_fee_acq_total)</f>
        <v>0</v>
      </c>
      <c r="M429" s="2078"/>
      <c r="N429" s="2078"/>
      <c r="Q429" s="883"/>
    </row>
    <row r="430" spans="1:22" s="851" customFormat="1" ht="12.6" hidden="1" customHeight="1">
      <c r="B430" s="250"/>
      <c r="C430" s="851" t="s">
        <v>1468</v>
      </c>
      <c r="L430" s="2078">
        <f>N(L427)-N(L428)+N(L429)</f>
        <v>0</v>
      </c>
      <c r="M430" s="2078"/>
      <c r="N430" s="2078"/>
    </row>
    <row r="431" spans="1:22" s="851" customFormat="1" ht="12.6" hidden="1" customHeight="1">
      <c r="C431" s="851" t="s">
        <v>1434</v>
      </c>
      <c r="L431" s="2100">
        <f>IF(Minimum_SetAside_per_Sec_42="Average Income Test",AIT_HC_SA_Percent,NonAIT_HC_SA_Percent)</f>
        <v>0</v>
      </c>
      <c r="M431" s="2100"/>
      <c r="N431" s="2100"/>
    </row>
    <row r="432" spans="1:22" s="851" customFormat="1" ht="12.6" hidden="1" customHeight="1">
      <c r="A432" s="853"/>
      <c r="B432" s="853"/>
      <c r="C432" s="853" t="s">
        <v>1469</v>
      </c>
      <c r="D432" s="853"/>
      <c r="E432" s="853"/>
      <c r="F432" s="854"/>
      <c r="G432" s="853"/>
      <c r="H432" s="854"/>
      <c r="I432" s="853"/>
      <c r="J432" s="853"/>
      <c r="K432" s="854"/>
      <c r="L432" s="2101">
        <v>1</v>
      </c>
      <c r="M432" s="2101"/>
      <c r="N432" s="2101"/>
      <c r="O432" s="853"/>
      <c r="P432" s="853"/>
      <c r="Q432" s="853"/>
      <c r="R432" s="853"/>
      <c r="S432" s="853"/>
      <c r="T432" s="853"/>
      <c r="U432" s="853"/>
      <c r="V432" s="853"/>
    </row>
    <row r="433" spans="1:22" s="851" customFormat="1" ht="12.6" hidden="1" customHeight="1">
      <c r="A433" s="853"/>
      <c r="B433" s="853"/>
      <c r="C433" s="853" t="s">
        <v>1470</v>
      </c>
      <c r="D433" s="853"/>
      <c r="E433" s="853"/>
      <c r="F433" s="855"/>
      <c r="G433" s="853"/>
      <c r="H433" s="853"/>
      <c r="I433" s="853"/>
      <c r="J433" s="853"/>
      <c r="K433" s="855"/>
      <c r="L433" s="2078">
        <f>N(L430)*N(L431)*N(L432)</f>
        <v>0</v>
      </c>
      <c r="M433" s="2078"/>
      <c r="N433" s="2078"/>
      <c r="O433" s="853"/>
      <c r="P433" s="853"/>
      <c r="Q433" s="869"/>
      <c r="R433" s="853"/>
      <c r="S433" s="853"/>
      <c r="T433" s="853"/>
      <c r="U433" s="853"/>
      <c r="V433" s="853"/>
    </row>
    <row r="434" spans="1:22" s="851" customFormat="1" ht="12.6" hidden="1" customHeight="1">
      <c r="A434" s="853"/>
      <c r="B434" s="856"/>
      <c r="C434" s="857" t="s">
        <v>1471</v>
      </c>
      <c r="D434" s="856"/>
      <c r="E434" s="856"/>
      <c r="F434" s="858"/>
      <c r="G434" s="853"/>
      <c r="H434" s="1663"/>
      <c r="I434" s="853"/>
      <c r="J434" s="853"/>
      <c r="K434" s="859"/>
      <c r="L434" s="2102">
        <v>0.04</v>
      </c>
      <c r="M434" s="2102"/>
      <c r="N434" s="2102"/>
      <c r="O434" s="853"/>
      <c r="P434" s="853"/>
      <c r="Q434" s="853"/>
      <c r="R434" s="853"/>
      <c r="S434" s="853"/>
      <c r="T434" s="853"/>
      <c r="U434" s="853"/>
      <c r="V434" s="853"/>
    </row>
    <row r="435" spans="1:22" s="851" customFormat="1" ht="12.6" hidden="1" customHeight="1">
      <c r="A435" s="853"/>
      <c r="B435" s="856"/>
      <c r="C435" s="857" t="s">
        <v>1472</v>
      </c>
      <c r="D435" s="856"/>
      <c r="E435" s="861"/>
      <c r="F435" s="858"/>
      <c r="G435" s="853"/>
      <c r="H435" s="1663"/>
      <c r="I435" s="853"/>
      <c r="J435" s="853"/>
      <c r="K435" s="859"/>
      <c r="L435" s="2078">
        <f>N(L433)*N(L434)</f>
        <v>0</v>
      </c>
      <c r="M435" s="2078"/>
      <c r="N435" s="2078"/>
      <c r="O435" s="853"/>
      <c r="P435" s="853"/>
      <c r="Q435" s="862"/>
      <c r="R435" s="862"/>
      <c r="S435" s="862"/>
      <c r="T435" s="862"/>
      <c r="U435" s="862"/>
      <c r="V435" s="862"/>
    </row>
    <row r="436" spans="1:22" s="851" customFormat="1" ht="12.6" hidden="1" customHeight="1">
      <c r="A436" s="853"/>
      <c r="B436" s="856"/>
      <c r="C436" s="856"/>
      <c r="D436" s="856"/>
      <c r="E436" s="856"/>
      <c r="F436" s="858"/>
      <c r="G436" s="853"/>
      <c r="H436" s="1663"/>
      <c r="I436" s="853"/>
      <c r="J436" s="853"/>
      <c r="K436" s="859"/>
      <c r="L436" s="972"/>
      <c r="M436" s="972"/>
      <c r="N436" s="973"/>
      <c r="O436" s="853"/>
      <c r="P436" s="853"/>
      <c r="Q436" s="853"/>
      <c r="R436" s="853"/>
      <c r="S436" s="853"/>
      <c r="T436" s="853"/>
      <c r="U436" s="853"/>
      <c r="V436" s="853"/>
    </row>
    <row r="437" spans="1:22" s="851" customFormat="1" ht="12.6" hidden="1" customHeight="1">
      <c r="A437" s="863"/>
      <c r="B437" s="863"/>
      <c r="C437" s="863"/>
      <c r="D437" s="863"/>
      <c r="E437" s="863"/>
      <c r="F437" s="858"/>
      <c r="G437" s="853"/>
      <c r="H437" s="1663"/>
      <c r="I437" s="853"/>
      <c r="J437" s="853"/>
      <c r="K437" s="859"/>
      <c r="L437" s="972"/>
      <c r="M437" s="972"/>
      <c r="N437" s="973"/>
      <c r="O437" s="853"/>
      <c r="P437" s="853"/>
      <c r="Q437" s="864"/>
      <c r="R437" s="864"/>
      <c r="S437" s="864"/>
      <c r="T437" s="864"/>
      <c r="U437" s="864"/>
      <c r="V437" s="864"/>
    </row>
    <row r="438" spans="1:22" s="851" customFormat="1" ht="12.6" hidden="1" customHeight="1">
      <c r="A438" s="863"/>
      <c r="B438" s="867" t="s">
        <v>651</v>
      </c>
      <c r="C438" s="260" t="s">
        <v>1374</v>
      </c>
      <c r="L438" s="974"/>
      <c r="M438" s="974"/>
      <c r="N438" s="974"/>
      <c r="O438" s="853"/>
      <c r="P438" s="853"/>
      <c r="Q438" s="864"/>
      <c r="R438" s="864"/>
      <c r="S438" s="864"/>
      <c r="T438" s="864"/>
      <c r="U438" s="864"/>
      <c r="V438" s="864"/>
    </row>
    <row r="439" spans="1:22" s="851" customFormat="1" ht="12.6" hidden="1" customHeight="1">
      <c r="A439" s="863"/>
      <c r="B439" s="863"/>
      <c r="C439" s="851" t="s">
        <v>1476</v>
      </c>
      <c r="L439" s="2077">
        <f>N(TDC_total)</f>
        <v>0</v>
      </c>
      <c r="M439" s="2077"/>
      <c r="N439" s="2077"/>
      <c r="O439" s="853"/>
      <c r="P439" s="853"/>
      <c r="Q439" s="865"/>
      <c r="R439" s="865"/>
      <c r="S439" s="865"/>
      <c r="T439" s="865"/>
      <c r="U439" s="865"/>
      <c r="V439" s="865"/>
    </row>
    <row r="440" spans="1:22" s="851" customFormat="1" ht="12.6" hidden="1" customHeight="1">
      <c r="A440" s="863"/>
      <c r="B440" s="863"/>
      <c r="D440" s="851" t="s">
        <v>1375</v>
      </c>
      <c r="L440" s="2078">
        <f>N(Acquisition_total)+N(Land_total)</f>
        <v>0</v>
      </c>
      <c r="M440" s="2078"/>
      <c r="N440" s="2078"/>
      <c r="O440" s="853"/>
      <c r="P440" s="853"/>
      <c r="Q440" s="865"/>
      <c r="R440" s="865"/>
      <c r="S440" s="865"/>
      <c r="T440" s="865"/>
      <c r="U440" s="865"/>
      <c r="V440" s="865"/>
    </row>
    <row r="441" spans="1:22" s="851" customFormat="1" ht="12.6" hidden="1" customHeight="1">
      <c r="A441" s="853"/>
      <c r="B441" s="853"/>
      <c r="D441" s="851" t="s">
        <v>1376</v>
      </c>
      <c r="L441" s="2078">
        <f>IF(N(Developer_fee_acq_total)&gt;0,N(Developer_fee_acq_total),0)</f>
        <v>0</v>
      </c>
      <c r="M441" s="2078"/>
      <c r="N441" s="2078"/>
      <c r="O441" s="860"/>
      <c r="P441" s="860"/>
      <c r="Q441" s="866"/>
      <c r="R441" s="866"/>
      <c r="S441" s="866"/>
      <c r="T441" s="866"/>
      <c r="U441" s="866"/>
      <c r="V441" s="866"/>
    </row>
    <row r="442" spans="1:22" s="851" customFormat="1" ht="12.6" hidden="1" customHeight="1">
      <c r="A442" s="853"/>
      <c r="B442" s="853"/>
      <c r="D442" s="851" t="s">
        <v>1377</v>
      </c>
      <c r="L442" s="2077">
        <f>IF(N(TDC_ineligible)&gt;0,N(TDC_ineligible),0)</f>
        <v>0</v>
      </c>
      <c r="M442" s="2077"/>
      <c r="N442" s="2077"/>
      <c r="O442" s="860"/>
      <c r="P442" s="860"/>
      <c r="Q442" s="866"/>
      <c r="R442" s="866"/>
      <c r="S442" s="866"/>
      <c r="T442" s="866"/>
      <c r="U442" s="866"/>
      <c r="V442" s="866"/>
    </row>
    <row r="443" spans="1:22" s="851" customFormat="1" ht="12.6" hidden="1" customHeight="1">
      <c r="A443" s="853"/>
      <c r="B443" s="853"/>
      <c r="C443" s="851" t="s">
        <v>1475</v>
      </c>
      <c r="L443" s="2077">
        <f>N(L439)-N(L440)-N(L441)-N(L442)</f>
        <v>0</v>
      </c>
      <c r="M443" s="2077"/>
      <c r="N443" s="2077"/>
      <c r="O443" s="860"/>
      <c r="P443" s="860"/>
      <c r="Q443" s="866"/>
      <c r="R443" s="866"/>
      <c r="S443" s="866"/>
      <c r="T443" s="866"/>
      <c r="U443" s="866"/>
      <c r="V443" s="866"/>
    </row>
    <row r="444" spans="1:22" s="851" customFormat="1" ht="12.6" hidden="1" customHeight="1">
      <c r="A444" s="853"/>
      <c r="B444" s="853"/>
      <c r="C444" s="851" t="s">
        <v>1434</v>
      </c>
      <c r="L444" s="2100">
        <f>L431</f>
        <v>0</v>
      </c>
      <c r="M444" s="2100"/>
      <c r="N444" s="2100"/>
      <c r="O444" s="860"/>
      <c r="P444" s="860"/>
      <c r="Q444" s="866"/>
      <c r="R444" s="866"/>
      <c r="S444" s="866"/>
      <c r="T444" s="866"/>
      <c r="U444" s="866"/>
      <c r="V444" s="866"/>
    </row>
    <row r="445" spans="1:22" s="851" customFormat="1" ht="12.6" hidden="1" customHeight="1">
      <c r="A445" s="853"/>
      <c r="B445" s="853"/>
      <c r="C445" s="853" t="s">
        <v>1469</v>
      </c>
      <c r="D445" s="853"/>
      <c r="E445" s="853"/>
      <c r="F445" s="854"/>
      <c r="G445" s="853"/>
      <c r="H445" s="854"/>
      <c r="I445" s="853"/>
      <c r="J445" s="853"/>
      <c r="K445" s="854"/>
      <c r="L445" s="2101" cm="1">
        <f t="array" ref="L445">IF(OR(Funding!E134:F134="Yes",Funding!E139:F139="Yes",Funding!E147:F147="Yes",Funding!E152:F152="Yes",Funding!E175:G175="Yes",AND(Funding!K125=1,Funding!K127=0,OR(Funding!E160:F160="Yes",Funding!E169:F169="Yes",Funding!E172:F172="Yes"))),1.3,1)</f>
        <v>1</v>
      </c>
      <c r="M445" s="2101"/>
      <c r="N445" s="2101"/>
      <c r="O445" s="860"/>
      <c r="P445" s="860"/>
      <c r="Q445" s="853"/>
      <c r="R445" s="853"/>
      <c r="S445" s="853"/>
      <c r="T445" s="853"/>
      <c r="U445" s="853"/>
      <c r="V445" s="853"/>
    </row>
    <row r="446" spans="1:22" s="851" customFormat="1" ht="12.6" hidden="1" customHeight="1">
      <c r="A446" s="853"/>
      <c r="B446" s="853"/>
      <c r="C446" s="853" t="s">
        <v>1495</v>
      </c>
      <c r="D446" s="853"/>
      <c r="E446" s="853"/>
      <c r="F446" s="855"/>
      <c r="G446" s="853"/>
      <c r="H446" s="853"/>
      <c r="I446" s="853"/>
      <c r="J446" s="853"/>
      <c r="K446" s="855"/>
      <c r="L446" s="2077">
        <f>N(L443)*N(L444)*N(L445)</f>
        <v>0</v>
      </c>
      <c r="M446" s="2077"/>
      <c r="N446" s="2077"/>
      <c r="O446" s="860"/>
      <c r="P446" s="860"/>
      <c r="Q446" s="889"/>
      <c r="R446" s="853"/>
      <c r="T446" s="853"/>
      <c r="U446" s="853"/>
      <c r="V446" s="853"/>
    </row>
    <row r="447" spans="1:22" ht="12.75" hidden="1" customHeight="1">
      <c r="A447" s="608"/>
      <c r="B447" s="608"/>
      <c r="C447" s="857" t="s">
        <v>1381</v>
      </c>
      <c r="D447" s="856"/>
      <c r="E447" s="856"/>
      <c r="F447" s="858"/>
      <c r="G447" s="853"/>
      <c r="H447" s="1663"/>
      <c r="I447" s="853"/>
      <c r="J447" s="853"/>
      <c r="K447" s="859"/>
      <c r="L447" s="2102">
        <f>IF(AND(Funding!$K$125=0,Funding!$K$127=1),4%,IF(AND(Funding!$K$125=1,Funding!$K$127=0),9%,0%))</f>
        <v>0</v>
      </c>
      <c r="M447" s="2102"/>
      <c r="N447" s="2102"/>
      <c r="O447" s="609"/>
      <c r="P447" s="609"/>
      <c r="Q447" s="869" t="str">
        <f>IF(AND(Funding!$K$125=1,Funding!$K$127=1),"Funding Tab Error","")</f>
        <v/>
      </c>
      <c r="R447" s="608"/>
      <c r="S447" s="608"/>
      <c r="T447" s="608"/>
      <c r="U447" s="608"/>
      <c r="V447" s="608"/>
    </row>
    <row r="448" spans="1:22" ht="12.75" hidden="1" customHeight="1">
      <c r="A448" s="608"/>
      <c r="B448" s="608"/>
      <c r="C448" s="857" t="s">
        <v>1496</v>
      </c>
      <c r="D448" s="856"/>
      <c r="E448" s="861"/>
      <c r="F448" s="858"/>
      <c r="G448" s="853"/>
      <c r="H448" s="1663"/>
      <c r="I448" s="853"/>
      <c r="J448" s="853"/>
      <c r="K448" s="859"/>
      <c r="L448" s="2103">
        <f>N(L446)*N(L447)</f>
        <v>0</v>
      </c>
      <c r="M448" s="2103"/>
      <c r="N448" s="2103"/>
      <c r="O448" s="609"/>
      <c r="P448" s="609"/>
      <c r="Q448" s="608"/>
      <c r="R448" s="608"/>
      <c r="S448" s="608"/>
      <c r="T448" s="608"/>
      <c r="U448" s="608"/>
      <c r="V448" s="608"/>
    </row>
    <row r="449" spans="1:22" ht="12.75" hidden="1" customHeight="1">
      <c r="A449" s="608"/>
      <c r="B449" s="608"/>
      <c r="C449" s="608"/>
      <c r="D449" s="610"/>
      <c r="E449" s="610"/>
      <c r="F449" s="610"/>
      <c r="G449" s="608"/>
      <c r="H449" s="611"/>
      <c r="I449" s="608"/>
      <c r="J449" s="608"/>
      <c r="K449" s="612"/>
      <c r="L449" s="608"/>
      <c r="M449" s="608"/>
      <c r="N449" s="608"/>
      <c r="O449" s="608"/>
      <c r="P449" s="608"/>
      <c r="Q449" s="608"/>
      <c r="R449" s="608"/>
      <c r="S449" s="608"/>
      <c r="T449" s="608"/>
      <c r="U449" s="608"/>
      <c r="V449" s="608"/>
    </row>
    <row r="450" spans="1:22" ht="12.75" hidden="1" customHeight="1" thickBot="1">
      <c r="C450" s="868" t="s">
        <v>1378</v>
      </c>
      <c r="L450" s="2105">
        <f>N(L435)+N(L448)</f>
        <v>0</v>
      </c>
      <c r="M450" s="2105"/>
      <c r="N450" s="2105"/>
      <c r="V450" s="247"/>
    </row>
    <row r="451" spans="1:22" ht="12.75" hidden="1" customHeight="1" thickTop="1">
      <c r="L451" s="637"/>
      <c r="M451" s="637"/>
      <c r="N451" s="637"/>
    </row>
    <row r="452" spans="1:22" ht="12.75" hidden="1" customHeight="1">
      <c r="L452" s="637"/>
      <c r="M452" s="637"/>
      <c r="N452" s="637"/>
    </row>
    <row r="453" spans="1:22" ht="12.75" hidden="1" customHeight="1">
      <c r="B453" s="258" t="s">
        <v>1379</v>
      </c>
      <c r="L453" s="637"/>
      <c r="M453" s="637"/>
      <c r="N453" s="637"/>
    </row>
    <row r="454" spans="1:22" hidden="1">
      <c r="C454" s="851" t="s">
        <v>1380</v>
      </c>
      <c r="D454" s="851"/>
      <c r="E454" s="851"/>
      <c r="F454" s="851"/>
      <c r="G454" s="851"/>
      <c r="H454" s="851"/>
      <c r="I454" s="851"/>
      <c r="J454" s="851"/>
      <c r="K454" s="851"/>
      <c r="L454" s="2077">
        <f>IF(N(TDC_total)=0,0,TDC_total)</f>
        <v>0</v>
      </c>
      <c r="M454" s="2077"/>
      <c r="N454" s="2077"/>
    </row>
    <row r="455" spans="1:22" hidden="1">
      <c r="D455" s="851" t="s">
        <v>1382</v>
      </c>
      <c r="E455" s="851"/>
      <c r="F455" s="851"/>
      <c r="G455" s="851"/>
      <c r="H455" s="851"/>
      <c r="I455" s="851"/>
      <c r="J455" s="851"/>
      <c r="K455" s="851"/>
      <c r="L455" s="2078">
        <f>Total_NonGrant_Mtg</f>
        <v>0</v>
      </c>
      <c r="M455" s="2078"/>
      <c r="N455" s="2078"/>
      <c r="Q455" s="290"/>
    </row>
    <row r="456" spans="1:22" hidden="1">
      <c r="C456" s="851" t="s">
        <v>1494</v>
      </c>
      <c r="D456" s="851"/>
      <c r="E456" s="851"/>
      <c r="F456" s="851"/>
      <c r="G456" s="851"/>
      <c r="H456" s="851"/>
      <c r="I456" s="851"/>
      <c r="J456" s="851"/>
      <c r="K456" s="851"/>
      <c r="L456" s="2078">
        <f>N(L454)-N(L455)</f>
        <v>0</v>
      </c>
      <c r="M456" s="2078"/>
      <c r="N456" s="2078"/>
    </row>
    <row r="457" spans="1:22" hidden="1">
      <c r="C457" s="851" t="s">
        <v>1383</v>
      </c>
      <c r="D457" s="851"/>
      <c r="E457" s="851"/>
      <c r="F457" s="851"/>
      <c r="G457" s="851"/>
      <c r="H457" s="851"/>
      <c r="I457" s="851"/>
      <c r="J457" s="851"/>
      <c r="K457" s="851"/>
      <c r="L457" s="2106">
        <v>0.99990000000000001</v>
      </c>
      <c r="M457" s="2106"/>
      <c r="N457" s="2106"/>
      <c r="Q457" s="885" t="s">
        <v>1427</v>
      </c>
    </row>
    <row r="458" spans="1:22" hidden="1">
      <c r="C458" s="851" t="s">
        <v>1384</v>
      </c>
      <c r="D458" s="851"/>
      <c r="E458" s="851"/>
      <c r="F458" s="851"/>
      <c r="G458" s="851"/>
      <c r="H458" s="851"/>
      <c r="I458" s="851"/>
      <c r="J458" s="851"/>
      <c r="K458" s="851"/>
      <c r="L458" s="2107" t="str">
        <f>IF(AND(N(Competitive_HC_Request_Amount)=0,N(Non_Competitive_HC_Request_Amount)=0),"TBD",PermAnalysis_HC/(IF(N(L447)=9%,Competitive_HC_Request_Amount,Non_Competitive_HC_Request_Amount)*10*Percent_Credits_Purchased))</f>
        <v>TBD</v>
      </c>
      <c r="M458" s="2107"/>
      <c r="N458" s="2107"/>
    </row>
    <row r="459" spans="1:22" hidden="1">
      <c r="C459" s="851" t="s">
        <v>1385</v>
      </c>
      <c r="D459" s="851"/>
      <c r="E459" s="851"/>
      <c r="F459" s="851"/>
      <c r="G459" s="851"/>
      <c r="H459" s="851"/>
      <c r="I459" s="851"/>
      <c r="J459" s="851"/>
      <c r="K459" s="851"/>
      <c r="L459" s="2078" t="str">
        <f>IF(OR(L458=0,L458="TBD"),"TBD",N(L456)/N(L457)/N(L458))</f>
        <v>TBD</v>
      </c>
      <c r="M459" s="2078"/>
      <c r="N459" s="2078"/>
      <c r="Q459" s="870"/>
    </row>
    <row r="460" spans="1:22" ht="13.8" hidden="1" thickBot="1">
      <c r="C460" s="851" t="s">
        <v>1492</v>
      </c>
      <c r="D460" s="851"/>
      <c r="E460" s="851"/>
      <c r="F460" s="851"/>
      <c r="G460" s="851"/>
      <c r="H460" s="851"/>
      <c r="I460" s="851"/>
      <c r="J460" s="851"/>
      <c r="K460" s="851"/>
      <c r="L460" s="2108" t="str">
        <f>IF(L459="TBD","TBD",N(L459)/10)</f>
        <v>TBD</v>
      </c>
      <c r="M460" s="2108"/>
      <c r="N460" s="2108"/>
      <c r="U460" s="884"/>
    </row>
    <row r="461" spans="1:22" ht="13.8" hidden="1" thickTop="1">
      <c r="L461" s="637"/>
      <c r="M461" s="637"/>
      <c r="N461" s="637"/>
    </row>
    <row r="462" spans="1:22" hidden="1">
      <c r="L462" s="637"/>
      <c r="M462" s="637"/>
      <c r="N462" s="637"/>
    </row>
    <row r="463" spans="1:22" hidden="1">
      <c r="B463" s="258" t="s">
        <v>1386</v>
      </c>
      <c r="L463" s="637"/>
      <c r="M463" s="637"/>
      <c r="N463" s="637"/>
    </row>
    <row r="464" spans="1:22" hidden="1">
      <c r="C464" s="851" t="s">
        <v>1387</v>
      </c>
      <c r="D464" s="851"/>
      <c r="E464" s="851"/>
      <c r="F464" s="851"/>
      <c r="G464" s="851"/>
      <c r="H464" s="851"/>
      <c r="I464" s="851"/>
      <c r="J464" s="851"/>
      <c r="K464" s="851"/>
      <c r="L464" s="2103">
        <f>N(L450)</f>
        <v>0</v>
      </c>
      <c r="M464" s="2103"/>
      <c r="N464" s="2103"/>
    </row>
    <row r="465" spans="2:17" hidden="1">
      <c r="C465" s="851" t="s">
        <v>1493</v>
      </c>
      <c r="D465" s="851"/>
      <c r="E465" s="851"/>
      <c r="F465" s="851"/>
      <c r="G465" s="851"/>
      <c r="H465" s="851"/>
      <c r="I465" s="851"/>
      <c r="J465" s="851"/>
      <c r="K465" s="851"/>
      <c r="L465" s="2109">
        <f>N(L460)</f>
        <v>0</v>
      </c>
      <c r="M465" s="2109"/>
      <c r="N465" s="2109"/>
      <c r="Q465" s="290"/>
    </row>
    <row r="466" spans="2:17" hidden="1">
      <c r="C466" s="260" t="s">
        <v>1388</v>
      </c>
      <c r="D466" s="260"/>
      <c r="E466" s="260"/>
      <c r="F466" s="260"/>
      <c r="G466" s="260"/>
      <c r="H466" s="260"/>
      <c r="I466" s="260"/>
      <c r="J466" s="260"/>
      <c r="K466" s="260"/>
      <c r="L466" s="2110">
        <f>MIN(N(L464),N(L465))</f>
        <v>0</v>
      </c>
      <c r="M466" s="2110"/>
      <c r="N466" s="2110"/>
    </row>
    <row r="467" spans="2:17" hidden="1">
      <c r="C467" s="851" t="s">
        <v>1389</v>
      </c>
      <c r="D467" s="851"/>
      <c r="E467" s="851"/>
      <c r="F467" s="851"/>
      <c r="G467" s="851"/>
      <c r="H467" s="851"/>
      <c r="I467" s="851"/>
      <c r="J467" s="851"/>
      <c r="K467" s="851"/>
      <c r="L467" s="2109">
        <f>N(L466)*N(L457)*N(L458)*10</f>
        <v>0</v>
      </c>
      <c r="M467" s="2109"/>
      <c r="N467" s="2109"/>
    </row>
    <row r="468" spans="2:17" hidden="1"/>
    <row r="469" spans="2:17" hidden="1"/>
    <row r="470" spans="2:17" hidden="1">
      <c r="B470" s="258" t="s">
        <v>1390</v>
      </c>
    </row>
    <row r="471" spans="2:17" hidden="1">
      <c r="C471" s="851" t="s">
        <v>1391</v>
      </c>
      <c r="D471" s="851"/>
      <c r="E471" s="851"/>
      <c r="F471" s="851"/>
      <c r="G471" s="851"/>
      <c r="H471" s="851"/>
      <c r="I471" s="851"/>
      <c r="J471" s="851"/>
      <c r="K471" s="851"/>
      <c r="L471" s="2077">
        <f>IF(N(TDC_eligible)&gt;0,N(TDC_eligible)+N(Actual_Comm_Retail_total),0)</f>
        <v>0</v>
      </c>
      <c r="M471" s="2077"/>
      <c r="N471" s="2077"/>
    </row>
    <row r="472" spans="2:17" hidden="1">
      <c r="D472" s="851" t="s">
        <v>1392</v>
      </c>
      <c r="E472" s="851"/>
      <c r="F472" s="851"/>
      <c r="G472" s="851"/>
      <c r="H472" s="851"/>
      <c r="I472" s="851"/>
      <c r="J472" s="851"/>
      <c r="K472" s="851"/>
      <c r="L472" s="2078">
        <f>IF(N(Land_total)&gt;0,N(Land_total),0)</f>
        <v>0</v>
      </c>
      <c r="M472" s="2078"/>
      <c r="N472" s="2078"/>
      <c r="Q472" s="290"/>
    </row>
    <row r="473" spans="2:17" hidden="1">
      <c r="C473" s="851" t="s">
        <v>1393</v>
      </c>
      <c r="D473" s="851"/>
      <c r="E473" s="851"/>
      <c r="F473" s="851"/>
      <c r="G473" s="851"/>
      <c r="H473" s="851"/>
      <c r="I473" s="851"/>
      <c r="J473" s="851"/>
      <c r="K473" s="851"/>
      <c r="L473" s="2078">
        <f>N(L471)+N(L472)</f>
        <v>0</v>
      </c>
      <c r="M473" s="2078"/>
      <c r="N473" s="2078"/>
    </row>
    <row r="474" spans="2:17" hidden="1">
      <c r="C474" s="851" t="s">
        <v>1428</v>
      </c>
      <c r="D474" s="851"/>
      <c r="E474" s="851"/>
      <c r="F474" s="851"/>
      <c r="G474" s="851"/>
      <c r="H474" s="851"/>
      <c r="I474" s="851"/>
      <c r="J474" s="851"/>
      <c r="K474" s="851"/>
      <c r="L474" s="2078">
        <f>IF(AND(Funding!K127=1,Funding!K185=1,Funding!I185&gt;0),Funding!I185,IF(AND(Funding!K127=1,Funding!K185=1,Funding!I185=0),ConstrAnalysis__1st_Mtg,0))</f>
        <v>0</v>
      </c>
      <c r="M474" s="2078"/>
      <c r="N474" s="2078"/>
      <c r="Q474" s="290"/>
    </row>
    <row r="475" spans="2:17" hidden="1">
      <c r="C475" s="851" t="s">
        <v>1474</v>
      </c>
      <c r="D475" s="851"/>
      <c r="E475" s="851"/>
      <c r="F475" s="851"/>
      <c r="G475" s="851"/>
      <c r="H475" s="851"/>
      <c r="I475" s="851"/>
      <c r="J475" s="851"/>
      <c r="K475" s="851"/>
      <c r="L475" s="2078">
        <f>L474</f>
        <v>0</v>
      </c>
      <c r="M475" s="2078"/>
      <c r="N475" s="2078"/>
      <c r="Q475" s="290"/>
    </row>
    <row r="476" spans="2:17" hidden="1">
      <c r="C476" s="260" t="s">
        <v>1394</v>
      </c>
      <c r="D476" s="260"/>
      <c r="E476" s="260"/>
      <c r="F476" s="260"/>
      <c r="G476" s="260"/>
      <c r="H476" s="260"/>
      <c r="I476" s="260"/>
      <c r="J476" s="260"/>
      <c r="K476" s="260"/>
      <c r="L476" s="2104" t="str">
        <f>IF(N(L473)=0,"TBD",N(L475)/N(L473))</f>
        <v>TBD</v>
      </c>
      <c r="M476" s="2104"/>
      <c r="N476" s="2104"/>
      <c r="O476" s="637"/>
      <c r="P476" s="637"/>
      <c r="Q476" s="889"/>
    </row>
    <row r="477" spans="2:17" hidden="1"/>
    <row r="478" spans="2:17" hidden="1">
      <c r="C478" s="297" t="s">
        <v>1473</v>
      </c>
    </row>
    <row r="480" spans="2:17">
      <c r="E480" s="240"/>
      <c r="F480" s="239"/>
    </row>
    <row r="481" spans="5:6">
      <c r="E481" s="240"/>
      <c r="F481" s="239"/>
    </row>
    <row r="482" spans="5:6">
      <c r="E482" s="240"/>
      <c r="F482" s="239"/>
    </row>
    <row r="483" spans="5:6">
      <c r="E483" s="240"/>
      <c r="F483" s="239"/>
    </row>
    <row r="484" spans="5:6">
      <c r="E484" s="240"/>
      <c r="F484" s="239"/>
    </row>
    <row r="485" spans="5:6">
      <c r="E485" s="240"/>
      <c r="F485" s="239"/>
    </row>
    <row r="486" spans="5:6">
      <c r="E486" s="240"/>
      <c r="F486" s="239"/>
    </row>
    <row r="487" spans="5:6">
      <c r="E487" s="238"/>
    </row>
    <row r="488" spans="5:6">
      <c r="E488" s="238"/>
    </row>
    <row r="489" spans="5:6">
      <c r="E489" s="238"/>
    </row>
    <row r="490" spans="5:6">
      <c r="E490" s="238"/>
    </row>
    <row r="491" spans="5:6">
      <c r="E491" s="238"/>
    </row>
    <row r="492" spans="5:6">
      <c r="E492" s="238"/>
    </row>
    <row r="493" spans="5:6">
      <c r="E493" s="238"/>
    </row>
    <row r="494" spans="5:6">
      <c r="E494" s="237"/>
    </row>
    <row r="495" spans="5:6">
      <c r="E495" s="237"/>
    </row>
    <row r="496" spans="5:6">
      <c r="E496" s="237"/>
    </row>
    <row r="497" spans="5:5">
      <c r="E497" s="237"/>
    </row>
    <row r="498" spans="5:5">
      <c r="E498" s="237"/>
    </row>
    <row r="499" spans="5:5">
      <c r="E499" s="237"/>
    </row>
    <row r="500" spans="5:5">
      <c r="E500" s="237"/>
    </row>
    <row r="501" spans="5:5">
      <c r="E501" s="237"/>
    </row>
    <row r="502" spans="5:5">
      <c r="E502" s="237"/>
    </row>
    <row r="503" spans="5:5">
      <c r="E503" s="237"/>
    </row>
    <row r="504" spans="5:5">
      <c r="E504" s="237"/>
    </row>
    <row r="505" spans="5:5">
      <c r="E505" s="237"/>
    </row>
    <row r="506" spans="5:5">
      <c r="E506" s="237"/>
    </row>
    <row r="507" spans="5:5">
      <c r="E507" s="237"/>
    </row>
    <row r="508" spans="5:5">
      <c r="E508" s="237"/>
    </row>
    <row r="509" spans="5:5">
      <c r="E509" s="237"/>
    </row>
    <row r="510" spans="5:5">
      <c r="E510" s="237"/>
    </row>
    <row r="511" spans="5:5">
      <c r="E511" s="237"/>
    </row>
    <row r="512" spans="5:5">
      <c r="E512" s="237"/>
    </row>
    <row r="513" spans="5:5">
      <c r="E513" s="237"/>
    </row>
    <row r="514" spans="5:5">
      <c r="E514" s="237"/>
    </row>
    <row r="515" spans="5:5">
      <c r="E515" s="237"/>
    </row>
  </sheetData>
  <sheetProtection algorithmName="SHA-512" hashValue="RiZKRsI+JrXR5R8XkSMlQHiso8Ar7O5p5vXkTgV3nKpk3WNCZSzPjf/Keb2qXoJWk6B4owhtZIjaGTU6ifyHCg==" saltValue="3mfJ3tNUIb6EIKZLVx+28g==" spinCount="100000" sheet="1" formatRows="0" selectLockedCells="1"/>
  <mergeCells count="188">
    <mergeCell ref="L399:N399"/>
    <mergeCell ref="L409:N409"/>
    <mergeCell ref="L411:N411"/>
    <mergeCell ref="L413:N414"/>
    <mergeCell ref="D377:N378"/>
    <mergeCell ref="L384:N384"/>
    <mergeCell ref="L385:N385"/>
    <mergeCell ref="L386:N386"/>
    <mergeCell ref="L388:N388"/>
    <mergeCell ref="L389:N389"/>
    <mergeCell ref="L390:N390"/>
    <mergeCell ref="L392:N392"/>
    <mergeCell ref="K394:M394"/>
    <mergeCell ref="K383:M383"/>
    <mergeCell ref="L380:N380"/>
    <mergeCell ref="L393:N393"/>
    <mergeCell ref="L403:N403"/>
    <mergeCell ref="L401:N401"/>
    <mergeCell ref="L405:N405"/>
    <mergeCell ref="L407:N407"/>
    <mergeCell ref="L391:N391"/>
    <mergeCell ref="L374:N374"/>
    <mergeCell ref="K396:M396"/>
    <mergeCell ref="G376:H376"/>
    <mergeCell ref="I369:K369"/>
    <mergeCell ref="I370:K370"/>
    <mergeCell ref="G371:H371"/>
    <mergeCell ref="L376:N376"/>
    <mergeCell ref="L369:N369"/>
    <mergeCell ref="K381:M381"/>
    <mergeCell ref="I372:K372"/>
    <mergeCell ref="I373:K373"/>
    <mergeCell ref="L373:N373"/>
    <mergeCell ref="I371:K371"/>
    <mergeCell ref="F243:O245"/>
    <mergeCell ref="Q122:Z123"/>
    <mergeCell ref="Q134:Z135"/>
    <mergeCell ref="Q126:Z127"/>
    <mergeCell ref="Q124:AC125"/>
    <mergeCell ref="Q128:Z129"/>
    <mergeCell ref="Q61:Z62"/>
    <mergeCell ref="Q49:Z50"/>
    <mergeCell ref="Q101:Z102"/>
    <mergeCell ref="Q116:Z117"/>
    <mergeCell ref="Q118:Z119"/>
    <mergeCell ref="Q181:Z182"/>
    <mergeCell ref="Q193:Z194"/>
    <mergeCell ref="F234:O238"/>
    <mergeCell ref="F217:O219"/>
    <mergeCell ref="F221:O223"/>
    <mergeCell ref="F228:O232"/>
    <mergeCell ref="A1:P1"/>
    <mergeCell ref="K274:N274"/>
    <mergeCell ref="K276:N276"/>
    <mergeCell ref="K278:N278"/>
    <mergeCell ref="K322:N322"/>
    <mergeCell ref="K38:N38"/>
    <mergeCell ref="Q255:Z258"/>
    <mergeCell ref="Q63:Z64"/>
    <mergeCell ref="Q81:Z82"/>
    <mergeCell ref="Q85:Z86"/>
    <mergeCell ref="Q176:Z177"/>
    <mergeCell ref="Q95:Z96"/>
    <mergeCell ref="Q97:Z98"/>
    <mergeCell ref="Q110:Z111"/>
    <mergeCell ref="Q178:Z180"/>
    <mergeCell ref="Q197:Z198"/>
    <mergeCell ref="Q158:Z159"/>
    <mergeCell ref="Q164:Z165"/>
    <mergeCell ref="K268:N268"/>
    <mergeCell ref="F250:O252"/>
    <mergeCell ref="K260:N260"/>
    <mergeCell ref="Q40:Z42"/>
    <mergeCell ref="Q47:Z48"/>
    <mergeCell ref="G40:N40"/>
    <mergeCell ref="R298:V298"/>
    <mergeCell ref="K272:N272"/>
    <mergeCell ref="K312:N312"/>
    <mergeCell ref="K326:N326"/>
    <mergeCell ref="K328:N328"/>
    <mergeCell ref="E296:F296"/>
    <mergeCell ref="Q307:Z310"/>
    <mergeCell ref="R266:W268"/>
    <mergeCell ref="R292:W293"/>
    <mergeCell ref="K266:N266"/>
    <mergeCell ref="K324:N324"/>
    <mergeCell ref="K330:N330"/>
    <mergeCell ref="K320:N320"/>
    <mergeCell ref="E294:F294"/>
    <mergeCell ref="K270:N270"/>
    <mergeCell ref="K280:N280"/>
    <mergeCell ref="K282:N282"/>
    <mergeCell ref="K284:N284"/>
    <mergeCell ref="K318:N318"/>
    <mergeCell ref="E342:F342"/>
    <mergeCell ref="K294:N294"/>
    <mergeCell ref="K296:N296"/>
    <mergeCell ref="R344:V344"/>
    <mergeCell ref="K332:N332"/>
    <mergeCell ref="K334:N334"/>
    <mergeCell ref="K336:N336"/>
    <mergeCell ref="L370:N370"/>
    <mergeCell ref="K365:M365"/>
    <mergeCell ref="E340:F340"/>
    <mergeCell ref="D368:F368"/>
    <mergeCell ref="D369:F369"/>
    <mergeCell ref="D370:F370"/>
    <mergeCell ref="G368:H368"/>
    <mergeCell ref="I368:K368"/>
    <mergeCell ref="G369:H369"/>
    <mergeCell ref="G370:H370"/>
    <mergeCell ref="L368:N368"/>
    <mergeCell ref="R338:W339"/>
    <mergeCell ref="K340:N340"/>
    <mergeCell ref="K342:N342"/>
    <mergeCell ref="L447:N447"/>
    <mergeCell ref="L448:N448"/>
    <mergeCell ref="L442:N442"/>
    <mergeCell ref="L475:N475"/>
    <mergeCell ref="L476:N476"/>
    <mergeCell ref="L450:N450"/>
    <mergeCell ref="L454:N454"/>
    <mergeCell ref="L455:N455"/>
    <mergeCell ref="L456:N456"/>
    <mergeCell ref="L457:N457"/>
    <mergeCell ref="L458:N458"/>
    <mergeCell ref="L459:N459"/>
    <mergeCell ref="L460:N460"/>
    <mergeCell ref="L464:N464"/>
    <mergeCell ref="L465:N465"/>
    <mergeCell ref="L466:N466"/>
    <mergeCell ref="L467:N467"/>
    <mergeCell ref="L471:N471"/>
    <mergeCell ref="L472:N472"/>
    <mergeCell ref="L473:N473"/>
    <mergeCell ref="L474:N474"/>
    <mergeCell ref="L430:N430"/>
    <mergeCell ref="L431:N431"/>
    <mergeCell ref="L439:N439"/>
    <mergeCell ref="L440:N440"/>
    <mergeCell ref="L441:N441"/>
    <mergeCell ref="L443:N443"/>
    <mergeCell ref="L444:N444"/>
    <mergeCell ref="L445:N445"/>
    <mergeCell ref="L446:N446"/>
    <mergeCell ref="L432:N432"/>
    <mergeCell ref="L433:N433"/>
    <mergeCell ref="L434:N434"/>
    <mergeCell ref="L435:N435"/>
    <mergeCell ref="D196:E196"/>
    <mergeCell ref="Q195:Z196"/>
    <mergeCell ref="Q199:Z200"/>
    <mergeCell ref="L427:N427"/>
    <mergeCell ref="L428:N428"/>
    <mergeCell ref="L429:N429"/>
    <mergeCell ref="I374:K374"/>
    <mergeCell ref="I375:K375"/>
    <mergeCell ref="I376:K376"/>
    <mergeCell ref="D367:N367"/>
    <mergeCell ref="G372:H372"/>
    <mergeCell ref="G373:H373"/>
    <mergeCell ref="G374:H374"/>
    <mergeCell ref="G375:H375"/>
    <mergeCell ref="D374:F374"/>
    <mergeCell ref="D375:F375"/>
    <mergeCell ref="D376:F376"/>
    <mergeCell ref="L372:N372"/>
    <mergeCell ref="L375:N375"/>
    <mergeCell ref="D373:F373"/>
    <mergeCell ref="D371:F371"/>
    <mergeCell ref="D372:F372"/>
    <mergeCell ref="L371:N371"/>
    <mergeCell ref="L397:N397"/>
    <mergeCell ref="D140:E140"/>
    <mergeCell ref="D74:E74"/>
    <mergeCell ref="D69:E69"/>
    <mergeCell ref="Q139:Z139"/>
    <mergeCell ref="Q68:Z68"/>
    <mergeCell ref="Q73:Z73"/>
    <mergeCell ref="D189:E189"/>
    <mergeCell ref="D191:E191"/>
    <mergeCell ref="D194:E194"/>
    <mergeCell ref="Q112:Z113"/>
    <mergeCell ref="Q105:Z106"/>
    <mergeCell ref="Q120:Z121"/>
    <mergeCell ref="Q130:Z131"/>
    <mergeCell ref="Q171:Z172"/>
    <mergeCell ref="Q156:Z157"/>
  </mergeCells>
  <conditionalFormatting sqref="Q192">
    <cfRule type="cellIs" dxfId="127" priority="178" operator="equal">
      <formula>"No"</formula>
    </cfRule>
    <cfRule type="cellIs" dxfId="126" priority="179" operator="equal">
      <formula>"Yes"</formula>
    </cfRule>
  </conditionalFormatting>
  <conditionalFormatting sqref="J304">
    <cfRule type="expression" dxfId="125" priority="211">
      <formula>H304&lt;0</formula>
    </cfRule>
  </conditionalFormatting>
  <conditionalFormatting sqref="J350">
    <cfRule type="expression" dxfId="124" priority="226">
      <formula>H350&lt;0</formula>
    </cfRule>
  </conditionalFormatting>
  <conditionalFormatting sqref="D349:F350 J350:P350">
    <cfRule type="expression" dxfId="123" priority="224">
      <formula>$H$350&lt;0</formula>
    </cfRule>
  </conditionalFormatting>
  <conditionalFormatting sqref="D303:F304 J304:P304">
    <cfRule type="expression" dxfId="122" priority="209">
      <formula>$H$304&lt;0</formula>
    </cfRule>
  </conditionalFormatting>
  <conditionalFormatting sqref="N188">
    <cfRule type="expression" dxfId="121" priority="170">
      <formula>P188="**"</formula>
    </cfRule>
  </conditionalFormatting>
  <conditionalFormatting sqref="N139">
    <cfRule type="expression" dxfId="120" priority="165">
      <formula>$P$140="No"</formula>
    </cfRule>
  </conditionalFormatting>
  <conditionalFormatting sqref="N68">
    <cfRule type="expression" dxfId="119" priority="156">
      <formula>$P$69="No"</formula>
    </cfRule>
  </conditionalFormatting>
  <conditionalFormatting sqref="N73">
    <cfRule type="expression" dxfId="118" priority="161">
      <formula>$P$74="No"</formula>
    </cfRule>
  </conditionalFormatting>
  <conditionalFormatting sqref="D188:F188">
    <cfRule type="expression" dxfId="117" priority="169">
      <formula>$P$188="**"</formula>
    </cfRule>
  </conditionalFormatting>
  <conditionalFormatting sqref="C68:F68">
    <cfRule type="expression" dxfId="116" priority="155">
      <formula>$P69="No"</formula>
    </cfRule>
  </conditionalFormatting>
  <conditionalFormatting sqref="P188">
    <cfRule type="cellIs" dxfId="115" priority="171" operator="equal">
      <formula>"**"</formula>
    </cfRule>
  </conditionalFormatting>
  <conditionalFormatting sqref="P190">
    <cfRule type="cellIs" dxfId="114" priority="176" operator="equal">
      <formula>"**"</formula>
    </cfRule>
  </conditionalFormatting>
  <conditionalFormatting sqref="P195">
    <cfRule type="cellIs" dxfId="113" priority="182" operator="equal">
      <formula>"**"</formula>
    </cfRule>
  </conditionalFormatting>
  <conditionalFormatting sqref="P139">
    <cfRule type="cellIs" dxfId="112" priority="166" operator="equal">
      <formula>"**"</formula>
    </cfRule>
  </conditionalFormatting>
  <conditionalFormatting sqref="P73">
    <cfRule type="cellIs" dxfId="111" priority="162" operator="equal">
      <formula>"**"</formula>
    </cfRule>
  </conditionalFormatting>
  <conditionalFormatting sqref="P68">
    <cfRule type="cellIs" dxfId="110" priority="157" operator="equal">
      <formula>"**"</formula>
    </cfRule>
  </conditionalFormatting>
  <conditionalFormatting sqref="P217">
    <cfRule type="cellIs" dxfId="109" priority="188" operator="equal">
      <formula>"**"</formula>
    </cfRule>
  </conditionalFormatting>
  <conditionalFormatting sqref="P221">
    <cfRule type="cellIs" dxfId="108" priority="190" operator="equal">
      <formula>"**"</formula>
    </cfRule>
  </conditionalFormatting>
  <conditionalFormatting sqref="P234">
    <cfRule type="cellIs" dxfId="107" priority="194" operator="equal">
      <formula>"**"</formula>
    </cfRule>
  </conditionalFormatting>
  <conditionalFormatting sqref="P243">
    <cfRule type="cellIs" dxfId="106" priority="196" operator="equal">
      <formula>"**"</formula>
    </cfRule>
  </conditionalFormatting>
  <conditionalFormatting sqref="P250">
    <cfRule type="cellIs" dxfId="105" priority="198" operator="equal">
      <formula>"**"</formula>
    </cfRule>
  </conditionalFormatting>
  <conditionalFormatting sqref="P38:P39">
    <cfRule type="cellIs" dxfId="104" priority="153" operator="equal">
      <formula>"**"</formula>
    </cfRule>
  </conditionalFormatting>
  <conditionalFormatting sqref="P303">
    <cfRule type="cellIs" dxfId="103" priority="210" operator="equal">
      <formula>"**"</formula>
    </cfRule>
  </conditionalFormatting>
  <conditionalFormatting sqref="P414">
    <cfRule type="cellIs" dxfId="102" priority="231" operator="equal">
      <formula>"**"</formula>
    </cfRule>
  </conditionalFormatting>
  <conditionalFormatting sqref="L413">
    <cfRule type="cellIs" dxfId="101" priority="230" operator="equal">
      <formula>"No"</formula>
    </cfRule>
  </conditionalFormatting>
  <conditionalFormatting sqref="N197">
    <cfRule type="expression" dxfId="100" priority="186">
      <formula>Q198="No"</formula>
    </cfRule>
  </conditionalFormatting>
  <conditionalFormatting sqref="D192:D193">
    <cfRule type="expression" dxfId="99" priority="180">
      <formula>$Q194="No"</formula>
    </cfRule>
  </conditionalFormatting>
  <conditionalFormatting sqref="P349">
    <cfRule type="cellIs" dxfId="98" priority="225" operator="equal">
      <formula>"**"</formula>
    </cfRule>
  </conditionalFormatting>
  <conditionalFormatting sqref="C73:F73">
    <cfRule type="expression" dxfId="97" priority="160">
      <formula>$P$74="No"</formula>
    </cfRule>
  </conditionalFormatting>
  <conditionalFormatting sqref="I38:I39">
    <cfRule type="expression" dxfId="96" priority="150">
      <formula>$P38="**"</formula>
    </cfRule>
  </conditionalFormatting>
  <conditionalFormatting sqref="Q304">
    <cfRule type="expression" dxfId="95" priority="212">
      <formula>H304&lt;0</formula>
    </cfRule>
    <cfRule type="expression" dxfId="94" priority="213">
      <formula>H304&gt;=0</formula>
    </cfRule>
  </conditionalFormatting>
  <conditionalFormatting sqref="Q350">
    <cfRule type="expression" dxfId="93" priority="227">
      <formula>H350&gt;=0</formula>
    </cfRule>
    <cfRule type="expression" dxfId="92" priority="228">
      <formula>H350&lt;0</formula>
    </cfRule>
  </conditionalFormatting>
  <conditionalFormatting sqref="K449">
    <cfRule type="cellIs" dxfId="91" priority="233" operator="equal">
      <formula>"(less than 60% maximum)"</formula>
    </cfRule>
    <cfRule type="cellIs" dxfId="90" priority="234" operator="equal">
      <formula>"(equal to 60% maximum)"</formula>
    </cfRule>
    <cfRule type="cellIs" dxfId="89" priority="235" operator="equal">
      <formula>"(greater than 60% maximum)"</formula>
    </cfRule>
  </conditionalFormatting>
  <conditionalFormatting sqref="H47 H67 H73 H81 H148 H175:H177 H186:H188 K67 K81 K175:K177 K186:K188 K197 H51 H53 K55 H55 H57 K57 K59 H59 H61 K63 H63 K70 H70 H83 H85 H87 H89 K89 H91 H93 K93 H95 H97 K107 H107:H108 H110 H112 H114 K114 H116 H118 K120 H120 H122 K122 H124 H126 K128 H128 H130 H132 H134 K134 K136 H136 K150:K151 H150:H151 H153 K155:K156 H155:H156 H158:H159 K158:K159 K161:K162 H161:H162 H164 K164 K166:K167 H166:H167 H169 K169 K171 H171 K179 H179 H181 K181 H190 H192:H194 K192:K194 H199 K199 H139 H197">
    <cfRule type="expression" dxfId="88" priority="149">
      <formula>H47&lt;&gt;ROUNDDOWN(H47,0)</formula>
    </cfRule>
  </conditionalFormatting>
  <conditionalFormatting sqref="G40">
    <cfRule type="cellIs" dxfId="87" priority="148" operator="notEqual">
      <formula>""</formula>
    </cfRule>
  </conditionalFormatting>
  <conditionalFormatting sqref="H49">
    <cfRule type="expression" dxfId="86" priority="147">
      <formula>H49&lt;&gt;ROUNDDOWN(H49,0)</formula>
    </cfRule>
  </conditionalFormatting>
  <conditionalFormatting sqref="R324">
    <cfRule type="cellIs" dxfId="85" priority="131" operator="equal">
      <formula>"Total Permanent SAIL+ SAIL ELI funding is greater than the maximum 35% of TDC."</formula>
    </cfRule>
  </conditionalFormatting>
  <conditionalFormatting sqref="N173:N201">
    <cfRule type="cellIs" dxfId="84" priority="129" operator="equal">
      <formula>0</formula>
    </cfRule>
  </conditionalFormatting>
  <conditionalFormatting sqref="N65:N73">
    <cfRule type="cellIs" dxfId="83" priority="128" operator="equal">
      <formula>0</formula>
    </cfRule>
  </conditionalFormatting>
  <conditionalFormatting sqref="N137">
    <cfRule type="cellIs" dxfId="82" priority="127" operator="equal">
      <formula>0</formula>
    </cfRule>
  </conditionalFormatting>
  <conditionalFormatting sqref="O446:P448">
    <cfRule type="cellIs" dxfId="81" priority="115" operator="equal">
      <formula>"(Total Units here does NOT match the Total Units entered on row 38 above)"</formula>
    </cfRule>
    <cfRule type="cellIs" dxfId="80" priority="116" operator="equal">
      <formula>"(Total Units here matches the Total Units entered on row 38 above)"</formula>
    </cfRule>
  </conditionalFormatting>
  <conditionalFormatting sqref="Q437">
    <cfRule type="expression" dxfId="79" priority="111">
      <formula>OR(SUM($H$434:$H$438)&lt;ROUNDUP($H$447*45%,0),SUM($H$434:$H$438)&gt;ROUNDUP($H$447*50%,0))</formula>
    </cfRule>
  </conditionalFormatting>
  <conditionalFormatting sqref="Q439:V439">
    <cfRule type="expression" dxfId="78" priority="112">
      <formula>ROUND((H$449*H$443-60%*H$443)/(60%-F439),9)&lt;0</formula>
    </cfRule>
  </conditionalFormatting>
  <conditionalFormatting sqref="Q440:V440">
    <cfRule type="expression" dxfId="77" priority="113">
      <formula>ROUND((H$449*H$443-60%*H$443)/(60%-F440),9)&lt;0</formula>
    </cfRule>
  </conditionalFormatting>
  <conditionalFormatting sqref="AA262:AD262 AA314:AD314">
    <cfRule type="expression" dxfId="76" priority="133">
      <formula>$K$39="(enter a value)"</formula>
    </cfRule>
  </conditionalFormatting>
  <conditionalFormatting sqref="I369:N375">
    <cfRule type="expression" dxfId="75" priority="91">
      <formula>N($G369)=0</formula>
    </cfRule>
  </conditionalFormatting>
  <conditionalFormatting sqref="R278:V278 H278">
    <cfRule type="expression" dxfId="74" priority="78">
      <formula>$R$278="The Request Amount is greater than the maximum allowed."</formula>
    </cfRule>
  </conditionalFormatting>
  <conditionalFormatting sqref="R280:V280 H280">
    <cfRule type="expression" dxfId="73" priority="79">
      <formula>$R$280="The Request Amount is greater than the maximum allowed."</formula>
    </cfRule>
  </conditionalFormatting>
  <conditionalFormatting sqref="R282:V282 H282">
    <cfRule type="expression" dxfId="72" priority="80">
      <formula>$R$282="The Request Amount is greater than the maximum allowed."</formula>
    </cfRule>
  </conditionalFormatting>
  <conditionalFormatting sqref="R284:V284 H284">
    <cfRule type="expression" dxfId="71" priority="81">
      <formula>$R$284="The Request Amount is greater than the maximum allowed."</formula>
    </cfRule>
  </conditionalFormatting>
  <conditionalFormatting sqref="R330:V330">
    <cfRule type="expression" dxfId="70" priority="71">
      <formula>$R$330="The Request Amount is greater than the maximum allowed."</formula>
    </cfRule>
  </conditionalFormatting>
  <conditionalFormatting sqref="R332 H332 T332:V332">
    <cfRule type="expression" dxfId="69" priority="73">
      <formula>$R$332="The Request Amount is greater than the maximum allowed."</formula>
    </cfRule>
  </conditionalFormatting>
  <conditionalFormatting sqref="R334 H334 T334:V334">
    <cfRule type="expression" dxfId="68" priority="74">
      <formula>$R$334="The Request Amount is greater than the maximum allowed."</formula>
    </cfRule>
  </conditionalFormatting>
  <conditionalFormatting sqref="R336 H336 T336:V336">
    <cfRule type="expression" dxfId="67" priority="77">
      <formula>$R$336="The Request Amount is greater than the maximum allowed."</formula>
    </cfRule>
  </conditionalFormatting>
  <conditionalFormatting sqref="P228">
    <cfRule type="cellIs" dxfId="66" priority="68" operator="equal">
      <formula>"**"</formula>
    </cfRule>
  </conditionalFormatting>
  <conditionalFormatting sqref="F228:O232">
    <cfRule type="expression" dxfId="65" priority="67">
      <formula>AND($F$228="",$N$110&lt;&gt;"")</formula>
    </cfRule>
  </conditionalFormatting>
  <conditionalFormatting sqref="F217:O219">
    <cfRule type="expression" dxfId="64" priority="62">
      <formula>AND($F$217="",$N$53&lt;&gt;"")</formula>
    </cfRule>
  </conditionalFormatting>
  <conditionalFormatting sqref="F221">
    <cfRule type="expression" dxfId="63" priority="66">
      <formula>AND($F$221="",$N$63&lt;&gt;"")</formula>
    </cfRule>
  </conditionalFormatting>
  <conditionalFormatting sqref="F234">
    <cfRule type="expression" dxfId="62" priority="65">
      <formula>AND($F$234="",$N$134&lt;&gt;"")</formula>
    </cfRule>
  </conditionalFormatting>
  <conditionalFormatting sqref="F243">
    <cfRule type="expression" dxfId="61" priority="64">
      <formula>AND($F$243="",$N$171&lt;&gt;"")</formula>
    </cfRule>
  </conditionalFormatting>
  <conditionalFormatting sqref="F250">
    <cfRule type="expression" dxfId="60" priority="63">
      <formula>AND($F$250="",$N$179&lt;&gt;"")</formula>
    </cfRule>
  </conditionalFormatting>
  <conditionalFormatting sqref="R344">
    <cfRule type="cellIs" dxfId="59" priority="59" operator="equal">
      <formula>"The Deferred Developer Fee is greater than than the Total Developer Fee."</formula>
    </cfRule>
  </conditionalFormatting>
  <conditionalFormatting sqref="H344">
    <cfRule type="expression" dxfId="58" priority="57">
      <formula>$R$344="The Deferred Developer Fee is greater than than the Total Developer Fee."</formula>
    </cfRule>
  </conditionalFormatting>
  <conditionalFormatting sqref="R298">
    <cfRule type="cellIs" dxfId="57" priority="56" operator="equal">
      <formula>"The Deferred Developer Fee is greater than than the Total Developer Fee."</formula>
    </cfRule>
  </conditionalFormatting>
  <conditionalFormatting sqref="H298">
    <cfRule type="expression" dxfId="56" priority="54">
      <formula>$R$298="The Deferred Developer Fee is greater than than the Total Developer Fee."</formula>
    </cfRule>
  </conditionalFormatting>
  <conditionalFormatting sqref="Q447">
    <cfRule type="cellIs" dxfId="55" priority="53" operator="equal">
      <formula>"Funding Tab Error"</formula>
    </cfRule>
  </conditionalFormatting>
  <conditionalFormatting sqref="L476:N476">
    <cfRule type="expression" dxfId="54" priority="41">
      <formula>N($L$476)&gt;=0.5</formula>
    </cfRule>
    <cfRule type="cellIs" dxfId="53" priority="43" operator="equal">
      <formula>"TBD"</formula>
    </cfRule>
    <cfRule type="cellIs" dxfId="52" priority="83" operator="lessThan">
      <formula>0.5</formula>
    </cfRule>
  </conditionalFormatting>
  <conditionalFormatting sqref="B417:N478">
    <cfRule type="expression" dxfId="51" priority="39">
      <formula>$Q$417=0</formula>
    </cfRule>
  </conditionalFormatting>
  <conditionalFormatting sqref="N190">
    <cfRule type="expression" dxfId="50" priority="37">
      <formula>$P$190="**"</formula>
    </cfRule>
  </conditionalFormatting>
  <conditionalFormatting sqref="N195">
    <cfRule type="expression" dxfId="49" priority="36">
      <formula>OR($P$195="**",$P$190="**",$P$188="**")</formula>
    </cfRule>
  </conditionalFormatting>
  <conditionalFormatting sqref="D190:F190">
    <cfRule type="expression" dxfId="48" priority="35">
      <formula>$P$190="**"</formula>
    </cfRule>
  </conditionalFormatting>
  <conditionalFormatting sqref="C195:F195">
    <cfRule type="expression" dxfId="47" priority="34">
      <formula>OR($P$195="**",$P$190="**",$P$188="**")</formula>
    </cfRule>
  </conditionalFormatting>
  <conditionalFormatting sqref="C139:F139">
    <cfRule type="expression" dxfId="46" priority="25">
      <formula>$P$140="No"</formula>
    </cfRule>
  </conditionalFormatting>
  <conditionalFormatting sqref="K266:N266 K268:N268 K270:N270 K272:N272 K274:N274 K276 K278:N278 K280:N280 K282:N282 K284 K318:N318 K320:N320 K322:N322 K324:N324 K326:N326 K328:N328 K330:N330 K332:N332 K334:N334 K336:N336">
    <cfRule type="expression" dxfId="45" priority="872">
      <formula>AND(K266=#REF!,N(H266)&gt;0)</formula>
    </cfRule>
  </conditionalFormatting>
  <conditionalFormatting sqref="AA315:AB315 AA263:AB263">
    <cfRule type="expression" dxfId="44" priority="896">
      <formula>$R263&lt;N(SUMIF($K266:$K284,#REF!,$H266:$H284))+N(SUMIF($K266:$K284,#REF!,$H266:$H284))</formula>
    </cfRule>
  </conditionalFormatting>
  <conditionalFormatting sqref="AA262:AB262">
    <cfRule type="expression" dxfId="43" priority="898">
      <formula>N(SUMIF($K266:$K284,#REF!,$H266:$H284))&gt;$R262*N($K$39)</formula>
    </cfRule>
  </conditionalFormatting>
  <conditionalFormatting sqref="P266">
    <cfRule type="cellIs" dxfId="42" priority="23" operator="equal">
      <formula>"**"</formula>
    </cfRule>
  </conditionalFormatting>
  <conditionalFormatting sqref="R266:W268">
    <cfRule type="expression" dxfId="41" priority="22">
      <formula>$P$266="**"</formula>
    </cfRule>
  </conditionalFormatting>
  <conditionalFormatting sqref="H266">
    <cfRule type="expression" dxfId="40" priority="21">
      <formula>$P$266="**"</formula>
    </cfRule>
  </conditionalFormatting>
  <conditionalFormatting sqref="H292">
    <cfRule type="expression" dxfId="39" priority="17">
      <formula>AND(OR(Competitive_HC_Request_Amount&gt;0,Non_Competitive_HC_Request_Amount&gt;0),ConstrAnalysis_HC=0)</formula>
    </cfRule>
  </conditionalFormatting>
  <conditionalFormatting sqref="P292">
    <cfRule type="cellIs" dxfId="38" priority="16" operator="equal">
      <formula>"**"</formula>
    </cfRule>
  </conditionalFormatting>
  <conditionalFormatting sqref="R292:W293">
    <cfRule type="expression" dxfId="37" priority="15">
      <formula>$P$292="**"</formula>
    </cfRule>
  </conditionalFormatting>
  <conditionalFormatting sqref="P338">
    <cfRule type="cellIs" dxfId="36" priority="14" operator="equal">
      <formula>"**"</formula>
    </cfRule>
  </conditionalFormatting>
  <conditionalFormatting sqref="H338">
    <cfRule type="expression" dxfId="35" priority="13">
      <formula>AND(OR(Competitive_HC_Request_Amount&gt;0,Non_Competitive_HC_Request_Amount&gt;0),PermAnalysis_HC=0)</formula>
    </cfRule>
  </conditionalFormatting>
  <conditionalFormatting sqref="R338:W339">
    <cfRule type="expression" dxfId="34" priority="12">
      <formula>$P$338="**"</formula>
    </cfRule>
  </conditionalFormatting>
  <conditionalFormatting sqref="Q195:Z196">
    <cfRule type="expression" dxfId="33" priority="10">
      <formula>$P$196="No"</formula>
    </cfRule>
  </conditionalFormatting>
  <conditionalFormatting sqref="H99 H101 H103 H105">
    <cfRule type="expression" dxfId="32" priority="5">
      <formula>H99&lt;&gt;ROUNDDOWN(H99,0)</formula>
    </cfRule>
  </conditionalFormatting>
  <dataValidations count="4">
    <dataValidation type="whole" allowBlank="1" showInputMessage="1" showErrorMessage="1" error="Only whole numbers are allowed to be entered and exist in the Application's Development Cost Pro Forma._x000a_Please adjust your entry accordingly." sqref="H45 K45 H105 H47 H51 K49 K51 H53 H55 K55 H57 K57 H59 K59 H61 K53 H63 K63 H68:H69 K61 H73 K68:K69 H81 K81 H83 K73 H85 K83 H87 K85 H89 K89 H91 K87 H93 K93 H95 K91 H97 K95 K188 K97 H190 K99 K153 K101 K47 K103 H108 K105 H110 K108 H112 K110 H114 K114 H116 K112 H118 K116 H120 K120 H122 K122 H124 K118 H126 K124 H128 K128 H130 K126 H132 K130 H134 K134 H139 K132 H148 K139 H151 K151 H153 K148 H156 K156 H159 K159 H164 K164 H167 K167 H169 K169 H171 K171 H177 K177 H179 K179 H49 K199 H162 K162 H188 H99 H101 H103 K190 H197" xr:uid="{1BDEF99A-D43E-4DBA-917C-B89C764C547B}">
      <formula1>-1000000000</formula1>
      <formula2>1000000000</formula2>
    </dataValidation>
    <dataValidation type="whole" allowBlank="1" showInputMessage="1" showErrorMessage="1" prompt="Please enter a whole number of at least 30." sqref="N39" xr:uid="{00FD7B8A-92C0-4312-9E7E-A4A7FB43CDA7}">
      <formula1>30</formula1>
      <formula2>999</formula2>
    </dataValidation>
    <dataValidation type="list" allowBlank="1" showInputMessage="1" showErrorMessage="1" sqref="P318 P320 P324 P328 P322 P326 P340 P342" xr:uid="{B235B1F8-9669-4E95-B72C-AF7727DD0F47}">
      <formula1>"&lt;select one&gt;, Yes, No"</formula1>
    </dataValidation>
    <dataValidation type="list" allowBlank="1" showInputMessage="1" showErrorMessage="1" sqref="K266:N266 K268:N268 K270:N270 K272:N272 K274:N274 K296:N296 K318:N318 K320:N320 K322:N322 K324:N324 K326:N326 K328:N328 K340:N340 K342:N342 K294:N294 K276" xr:uid="{162F038C-EEA6-4C69-9C98-E07C4C6FB6F6}">
      <formula1>DS_ProAppSources_DDMenu</formula1>
    </dataValidation>
  </dataValidations>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rowBreaks count="7" manualBreakCount="7">
    <brk id="75" max="15" man="1"/>
    <brk id="141" max="15" man="1"/>
    <brk id="203" max="15" man="1"/>
    <brk id="254" max="15" man="1"/>
    <brk id="306" max="16383" man="1"/>
    <brk id="352" max="15" man="1"/>
    <brk id="415" max="15" man="1"/>
  </rowBreaks>
  <drawing r:id="rId2"/>
  <extLst>
    <ext xmlns:x14="http://schemas.microsoft.com/office/spreadsheetml/2009/9/main" uri="{78C0D931-6437-407d-A8EE-F0AAD7539E65}">
      <x14:conditionalFormattings>
        <x14:conditionalFormatting xmlns:xm="http://schemas.microsoft.com/office/excel/2006/main">
          <x14:cfRule type="expression" priority="9" id="{00000000-000E-0000-1300-000008000000}">
            <xm:f>AND(K340=Data1!$F$34,N(H340)&gt;0)</xm:f>
            <x14:dxf>
              <font>
                <b/>
                <i/>
                <color rgb="FFFF0000"/>
              </font>
              <fill>
                <patternFill>
                  <bgColor rgb="FFFFEBFF"/>
                </patternFill>
              </fill>
            </x14:dxf>
          </x14:cfRule>
          <xm:sqref>K340:N340</xm:sqref>
        </x14:conditionalFormatting>
        <x14:conditionalFormatting xmlns:xm="http://schemas.microsoft.com/office/excel/2006/main">
          <x14:cfRule type="expression" priority="8" id="{00000000-000E-0000-1300-000007000000}">
            <xm:f>AND(K342=Data1!$F$34,N(H342)&gt;0)</xm:f>
            <x14:dxf>
              <font>
                <b/>
                <i/>
                <color rgb="FFFF0000"/>
              </font>
              <fill>
                <patternFill>
                  <bgColor rgb="FFFFEBFF"/>
                </patternFill>
              </fill>
            </x14:dxf>
          </x14:cfRule>
          <xm:sqref>K342:N342</xm:sqref>
        </x14:conditionalFormatting>
        <x14:conditionalFormatting xmlns:xm="http://schemas.microsoft.com/office/excel/2006/main">
          <x14:cfRule type="expression" priority="7" id="{00000000-000E-0000-1300-000006000000}">
            <xm:f>AND(K294=Data1!$F$34,N(H294)&gt;0)</xm:f>
            <x14:dxf>
              <font>
                <b/>
                <i/>
                <color rgb="FFFF0000"/>
              </font>
              <fill>
                <patternFill>
                  <bgColor rgb="FFFFEBFF"/>
                </patternFill>
              </fill>
            </x14:dxf>
          </x14:cfRule>
          <xm:sqref>K294:N294</xm:sqref>
        </x14:conditionalFormatting>
        <x14:conditionalFormatting xmlns:xm="http://schemas.microsoft.com/office/excel/2006/main">
          <x14:cfRule type="expression" priority="6" id="{00000000-000E-0000-1300-000005000000}">
            <xm:f>AND(K296=Data1!$F$34,N(H296)&gt;0)</xm:f>
            <x14:dxf>
              <font>
                <b/>
                <i/>
                <color rgb="FFFF0000"/>
              </font>
              <fill>
                <patternFill>
                  <bgColor rgb="FFFFEBFF"/>
                </patternFill>
              </fill>
            </x14:dxf>
          </x14:cfRule>
          <xm:sqref>K296:N296</xm:sqref>
        </x14:conditionalFormatting>
        <x14:conditionalFormatting xmlns:xm="http://schemas.microsoft.com/office/excel/2006/main">
          <x14:cfRule type="expression" priority="82" id="{912693A0-E14F-4C18-A88F-91EE6ACEE73C}">
            <xm:f>AND(Funding!$K$125=0,Funding!$K$127=0)</xm:f>
            <x14:dxf>
              <fill>
                <patternFill patternType="lightUp">
                  <fgColor theme="0" tint="-0.499984740745262"/>
                </patternFill>
              </fill>
            </x14:dxf>
          </x14:cfRule>
          <xm:sqref>B417:N469</xm:sqref>
        </x14:conditionalFormatting>
        <x14:conditionalFormatting xmlns:xm="http://schemas.microsoft.com/office/excel/2006/main">
          <x14:cfRule type="expression" priority="61" id="{EE1DA426-3777-495E-8CEF-6F202DDFAFF7}">
            <xm:f>Funding!$I$127&gt;0</xm:f>
            <x14:dxf>
              <font>
                <b val="0"/>
                <i/>
                <color theme="0" tint="-0.499984740745262"/>
              </font>
              <fill>
                <patternFill>
                  <bgColor theme="0"/>
                </patternFill>
              </fill>
            </x14:dxf>
          </x14:cfRule>
          <xm:sqref>Q101:Z102 Q105:Z106 Q112:Z113 Q120:Z121 Q156:Z159 Q164:Z165</xm:sqref>
        </x14:conditionalFormatting>
        <x14:conditionalFormatting xmlns:xm="http://schemas.microsoft.com/office/excel/2006/main">
          <x14:cfRule type="expression" priority="38" id="{40F6F4EB-4803-41E7-90EB-94CD8400F33A}">
            <xm:f>Funding!$K$127=0</xm:f>
            <x14:dxf>
              <fill>
                <patternFill patternType="lightUp">
                  <fgColor theme="0" tint="-0.499984740745262"/>
                </patternFill>
              </fill>
            </x14:dxf>
          </x14:cfRule>
          <xm:sqref>B470:N478</xm:sqref>
        </x14:conditionalFormatting>
        <x14:conditionalFormatting xmlns:xm="http://schemas.microsoft.com/office/excel/2006/main">
          <x14:cfRule type="expression" priority="20" id="{3079E1CC-6994-451B-9830-6908EFE59B8D}">
            <xm:f>AND(Funding!K185=1,ConstrAnalysis__1st_Type="FHFC - MMRB",ConstrAnalysis__1st_Mtg&lt;&gt;MMRB_Request_Amount)</xm:f>
            <x14:dxf>
              <font>
                <b/>
                <i/>
              </font>
              <fill>
                <patternFill>
                  <bgColor rgb="FFFFEBFF"/>
                </patternFill>
              </fill>
            </x14:dxf>
          </x14:cfRule>
          <xm:sqref>R266:W268</xm:sqref>
        </x14:conditionalFormatting>
        <x14:conditionalFormatting xmlns:xm="http://schemas.microsoft.com/office/excel/2006/main">
          <x14:cfRule type="expression" priority="18" id="{D11438AD-F2A1-4D53-9AAB-7FE0C6588B4E}">
            <xm:f>AND(Funding!K127=1,ConstrAnalysis__1st_Type&lt;&gt;"FHFC - MMRB",ConstrAnalysis__1st_Type&lt;&gt;"Local HFA Bonds")</xm:f>
            <x14:dxf>
              <font>
                <b/>
                <i/>
                <color rgb="FFFF0000"/>
              </font>
              <fill>
                <patternFill>
                  <bgColor rgb="FFFFEBFF"/>
                </patternFill>
              </fill>
            </x14:dxf>
          </x14:cfRule>
          <xm:sqref>K266:N266</xm:sqref>
        </x14:conditionalFormatting>
        <x14:conditionalFormatting xmlns:xm="http://schemas.microsoft.com/office/excel/2006/main">
          <x14:cfRule type="expression" priority="1197" id="{101495CA-A019-4617-964F-0D48CCE2A5BF}">
            <xm:f>Data1!$E$511="Yes"</xm:f>
            <x14:dxf>
              <font>
                <b/>
                <i val="0"/>
              </font>
              <fill>
                <patternFill patternType="none">
                  <bgColor auto="1"/>
                </patternFill>
              </fill>
            </x14:dxf>
          </x14:cfRule>
          <xm:sqref>N197</xm:sqref>
        </x14:conditionalFormatting>
        <x14:conditionalFormatting xmlns:xm="http://schemas.microsoft.com/office/excel/2006/main">
          <x14:cfRule type="expression" priority="1198" id="{F214F08D-DE99-4E80-B7B7-BEAC46DFC338}">
            <xm:f>Data1!$E$510="Yes"</xm:f>
            <x14:dxf>
              <font>
                <color theme="0"/>
              </font>
              <fill>
                <patternFill patternType="none">
                  <bgColor auto="1"/>
                </patternFill>
              </fill>
              <border>
                <left/>
                <right/>
                <top/>
                <bottom/>
                <vertical/>
                <horizontal/>
              </border>
            </x14:dxf>
          </x14:cfRule>
          <xm:sqref>P315:P316 P318 P320 P322 P324 P326 P328 P340 P342</xm:sqref>
        </x14:conditionalFormatting>
        <x14:conditionalFormatting xmlns:xm="http://schemas.microsoft.com/office/excel/2006/main">
          <x14:cfRule type="expression" priority="1210" id="{64C83BCA-6F81-4095-84F3-F6BF49282E7B}">
            <xm:f>Data1!$E$511="Yes"</xm:f>
            <x14:dxf>
              <font>
                <color rgb="FF0000FF"/>
              </font>
              <fill>
                <patternFill patternType="none">
                  <bgColor auto="1"/>
                </patternFill>
              </fill>
              <border>
                <bottom style="thin">
                  <color rgb="FF0000FF"/>
                </bottom>
                <vertical/>
                <horizontal/>
              </border>
            </x14:dxf>
          </x14:cfRule>
          <xm:sqref>K197</xm:sqref>
        </x14:conditionalFormatting>
        <x14:conditionalFormatting xmlns:xm="http://schemas.microsoft.com/office/excel/2006/main">
          <x14:cfRule type="expression" priority="1211" id="{632777D8-7F95-4603-9CDC-FEF0F6D05CF2}">
            <xm:f>Data1!$E$512="Yes"</xm:f>
            <x14:dxf>
              <font>
                <color theme="0"/>
              </font>
              <fill>
                <patternFill patternType="none">
                  <bgColor auto="1"/>
                </patternFill>
              </fill>
              <border>
                <left/>
                <right/>
                <top/>
                <bottom/>
                <vertical/>
                <horizontal/>
              </border>
            </x14:dxf>
          </x14:cfRule>
          <xm:sqref>Q417:S417</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C203A-04BD-43D0-8F0A-CFBDCCC227D2}">
  <sheetPr codeName="Sheet22"/>
  <dimension ref="A1:Z43"/>
  <sheetViews>
    <sheetView zoomScaleNormal="100" zoomScaleSheetLayoutView="100" workbookViewId="0">
      <selection activeCell="E3" sqref="E3"/>
    </sheetView>
  </sheetViews>
  <sheetFormatPr defaultColWidth="8.88671875" defaultRowHeight="14.4"/>
  <cols>
    <col min="1" max="1" width="3" style="1547" customWidth="1"/>
    <col min="2" max="3" width="3.5546875" style="1547" customWidth="1"/>
    <col min="4" max="4" width="24.6640625" style="1547" customWidth="1"/>
    <col min="5" max="5" width="16.6640625" style="1547" customWidth="1"/>
    <col min="6" max="8" width="15" style="1547" customWidth="1"/>
    <col min="9" max="9" width="14.6640625" style="1547" customWidth="1"/>
    <col min="10" max="10" width="8.77734375" style="1547" customWidth="1"/>
    <col min="11" max="12" width="3.5546875" style="1547" customWidth="1"/>
    <col min="13" max="13" width="31.5546875" style="1547" customWidth="1"/>
    <col min="14" max="16384" width="8.88671875" style="1547"/>
  </cols>
  <sheetData>
    <row r="1" spans="1:26" ht="35.85" customHeight="1" thickBot="1">
      <c r="A1" s="2214" t="s">
        <v>2067</v>
      </c>
      <c r="B1" s="2215"/>
      <c r="C1" s="2215"/>
      <c r="D1" s="2215"/>
      <c r="E1" s="2215"/>
      <c r="F1" s="2215"/>
      <c r="G1" s="2215"/>
      <c r="H1" s="2215"/>
      <c r="I1" s="2216"/>
      <c r="K1" s="1892" t="str">
        <f>"There are "&amp;TEXT(COUNTIF($K$3:$K$30,"=1"),"0")&amp;" required input fields and "&amp;TEXT(COUNTIF($K$3:$K$30,"=2")+COUNTIF(K202:K205,"=2"),"0")&amp;" optional input fields on this tab."&amp;CHAR(10)&amp;"There "&amp;IF(COUNTIFS($K$3:$K$30,"=1",$L$3:$L$30,"=1")=1,"is 1 required input field with an entry","are "&amp;TEXT(COUNTIFS($K$3:$K$30,"=1",$L$3:$L$30,"=1"),"0")&amp;" required input fields")&amp;" and "&amp;TEXT(COUNTIFS($K$3:$K$30,"=2",$L$3:$L$30,"=2")+IF(AND(L202=2,H202&lt;&gt;""),1,0)+IF(AND(L203=2,H203&lt;&gt;""),1,0)+IF(AND(L204=2,H204&lt;&gt;""),1,0)+IF(AND(L205=2,H205&lt;&gt;""),1,0),"0")&amp;" optional input field"&amp;IF(COUNTIFS($K$3:$K$30,"=2",$L$3:$L$30,"=2")+IF(AND(L203=2,H203&lt;&gt;""),1,0)+IF(AND(L204=2,H204&lt;&gt;""),1,0)+IF(AND(L205=2,H205&lt;&gt;""),1,0)=1," with an entry","s with entries")&amp;" on this tab."&amp;CHAR(10)&amp;"There "&amp;IF(Data1!G513=1,"is ","are ")&amp;TEXT(Data1!G513,"0")&amp;" required input field"&amp;IF(Data1!G513=1," that needs an entry","s that need entries")&amp;" and "&amp;TEXT(Data1!H513,"0")&amp;" optional input field"&amp;IF(Data1!H513=1," that may or may not need an entry","s that may or may not need entries")&amp;" on this tab."</f>
        <v>There are 11 required input fields and 0 optional input fields on this tab.
There are 0 required input fields and 0 optional input fields with entries on this tab.
There are 11 required input fields that need entries and 0 optional input fields that may or may not need entries on this tab.</v>
      </c>
      <c r="L1" s="1892"/>
      <c r="M1" s="1892"/>
      <c r="N1" s="1892"/>
      <c r="O1" s="1892"/>
      <c r="P1" s="1892"/>
      <c r="Q1" s="1892"/>
      <c r="R1" s="1892"/>
      <c r="S1" s="1892"/>
      <c r="T1" s="1892"/>
      <c r="U1" s="1892"/>
      <c r="V1" s="1634"/>
      <c r="W1" s="1634"/>
      <c r="X1" s="1634"/>
      <c r="Y1" s="1634"/>
      <c r="Z1" s="1634"/>
    </row>
    <row r="2" spans="1:26">
      <c r="B2" s="963"/>
      <c r="C2" s="963"/>
      <c r="D2" s="963"/>
      <c r="E2" s="963"/>
      <c r="F2" s="963"/>
      <c r="G2" s="963"/>
      <c r="H2" s="963"/>
      <c r="K2" s="1892"/>
      <c r="L2" s="1892"/>
      <c r="M2" s="1892"/>
      <c r="N2" s="1892"/>
      <c r="O2" s="1892"/>
      <c r="P2" s="1892"/>
      <c r="Q2" s="1892"/>
      <c r="R2" s="1892"/>
      <c r="S2" s="1892"/>
      <c r="T2" s="1892"/>
      <c r="U2" s="1892"/>
      <c r="V2" s="1634"/>
      <c r="W2" s="1634"/>
      <c r="X2" s="1634"/>
      <c r="Y2" s="1634"/>
      <c r="Z2" s="1634"/>
    </row>
    <row r="3" spans="1:26" ht="17.399999999999999" customHeight="1">
      <c r="A3" s="1569" t="s">
        <v>213</v>
      </c>
      <c r="B3" s="1574" t="s">
        <v>2068</v>
      </c>
      <c r="E3" s="1629" t="s">
        <v>2</v>
      </c>
      <c r="K3" s="588">
        <v>1</v>
      </c>
      <c r="L3" s="1628">
        <f>IF(E3&lt;&gt;"&lt;select one&gt;",K3,0)</f>
        <v>0</v>
      </c>
      <c r="M3" s="1373" t="str">
        <f>CHOOSE(K3+1,"Not to be included in this RFA","A REQUIRED input field for this RFA","An OPTIONAL input field for this RFA")</f>
        <v>A REQUIRED input field for this RFA</v>
      </c>
    </row>
    <row r="4" spans="1:26" ht="14.4" customHeight="1">
      <c r="C4" s="1576" t="s">
        <v>2096</v>
      </c>
      <c r="E4" s="1548"/>
      <c r="F4" s="1548"/>
      <c r="G4" s="1443"/>
      <c r="H4" s="1548"/>
      <c r="I4" s="1548"/>
      <c r="J4" s="1571"/>
    </row>
    <row r="5" spans="1:26" ht="14.4" customHeight="1">
      <c r="C5" s="1548"/>
      <c r="D5" s="1572"/>
      <c r="E5" s="1548"/>
      <c r="F5" s="1548"/>
      <c r="G5" s="1443"/>
      <c r="H5" s="1548"/>
      <c r="I5" s="1548"/>
      <c r="J5" s="1571"/>
    </row>
    <row r="6" spans="1:26" ht="17.399999999999999" customHeight="1">
      <c r="A6" s="1569" t="s">
        <v>222</v>
      </c>
      <c r="B6" s="1573" t="s">
        <v>2069</v>
      </c>
      <c r="F6" s="1627" t="str">
        <f>IF(E3="No","(This set of questions can be skipped based on the response in 4.A.11.a. above)","")</f>
        <v/>
      </c>
      <c r="M6" s="1223">
        <f>IF(E3="No",2,1)</f>
        <v>1</v>
      </c>
    </row>
    <row r="7" spans="1:26" ht="17.399999999999999" customHeight="1">
      <c r="B7" s="1570" t="s">
        <v>215</v>
      </c>
      <c r="C7" s="1208" t="s">
        <v>2093</v>
      </c>
      <c r="D7" s="1208"/>
      <c r="E7" s="1208"/>
      <c r="F7" s="1629"/>
      <c r="G7" s="1208"/>
      <c r="H7" s="1208"/>
      <c r="I7" s="1208"/>
      <c r="J7" s="1208"/>
      <c r="K7" s="588">
        <f>M$6</f>
        <v>1</v>
      </c>
      <c r="L7" s="1628">
        <f>IF(N(F7)&gt;0,K7,0)</f>
        <v>0</v>
      </c>
      <c r="M7" s="1373" t="str">
        <f>CHOOSE(K7+1,"Not to be included in this RFA","A REQUIRED input field for this RFA","An OPTIONAL input field for this RFA")</f>
        <v>A REQUIRED input field for this RFA</v>
      </c>
    </row>
    <row r="8" spans="1:26" ht="17.399999999999999" customHeight="1">
      <c r="B8" s="1570" t="s">
        <v>217</v>
      </c>
      <c r="C8" s="1208" t="s">
        <v>2094</v>
      </c>
      <c r="D8" s="1208"/>
      <c r="E8" s="1629"/>
      <c r="F8" s="1208"/>
      <c r="G8" s="1208"/>
      <c r="H8" s="1208"/>
      <c r="I8" s="1208"/>
      <c r="J8" s="1208"/>
      <c r="K8" s="588">
        <f>M$6</f>
        <v>1</v>
      </c>
      <c r="L8" s="1628">
        <f>IF(N(E8)&gt;0,K8,0)</f>
        <v>0</v>
      </c>
      <c r="M8" s="1373" t="str">
        <f>CHOOSE(K8+1,"Not to be included in this RFA","A REQUIRED input field for this RFA","An OPTIONAL input field for this RFA")</f>
        <v>A REQUIRED input field for this RFA</v>
      </c>
    </row>
    <row r="9" spans="1:26" ht="14.4" customHeight="1">
      <c r="B9" s="1570" t="s">
        <v>219</v>
      </c>
      <c r="C9" s="2209" t="s">
        <v>2095</v>
      </c>
      <c r="D9" s="2209"/>
      <c r="E9" s="2209"/>
      <c r="F9" s="2209"/>
      <c r="G9" s="2209"/>
      <c r="H9" s="2207" t="s">
        <v>2</v>
      </c>
      <c r="I9" s="1208"/>
      <c r="J9" s="1577"/>
      <c r="K9" s="2212">
        <f>M$6</f>
        <v>1</v>
      </c>
      <c r="L9" s="2211">
        <f>IF(H9&lt;&gt;"&lt;select one&gt;",K9,0)</f>
        <v>0</v>
      </c>
      <c r="M9" s="2210" t="str">
        <f>CHOOSE(K9+1,"Not to be included in this RFA","A REQUIRED input field for this RFA","An OPTIONAL input field for this RFA")</f>
        <v>A REQUIRED input field for this RFA</v>
      </c>
    </row>
    <row r="10" spans="1:26" ht="14.4" customHeight="1">
      <c r="B10" s="1570"/>
      <c r="C10" s="2209"/>
      <c r="D10" s="2209"/>
      <c r="E10" s="2209"/>
      <c r="F10" s="2209"/>
      <c r="G10" s="2209"/>
      <c r="H10" s="2208"/>
      <c r="I10" s="1208"/>
      <c r="J10" s="1575"/>
      <c r="K10" s="2213"/>
      <c r="L10" s="2211"/>
      <c r="M10" s="2210"/>
    </row>
    <row r="11" spans="1:26" ht="17.399999999999999" customHeight="1">
      <c r="B11" s="1208"/>
      <c r="C11" s="1208"/>
      <c r="D11" s="1208" t="s">
        <v>2070</v>
      </c>
      <c r="E11" s="1208"/>
      <c r="F11" s="1629"/>
      <c r="G11" s="1208"/>
      <c r="H11" s="1208"/>
      <c r="I11" s="1208"/>
      <c r="J11" s="1208"/>
      <c r="K11" s="588">
        <f>M$6</f>
        <v>1</v>
      </c>
      <c r="L11" s="1632">
        <f>IF(N(F11)&gt;0,K11,0)</f>
        <v>0</v>
      </c>
      <c r="M11" s="1373" t="str">
        <f>CHOOSE(K11+1,"Not to be included in this RFA","A REQUIRED input field for this RFA","An OPTIONAL input field for this RFA")</f>
        <v>A REQUIRED input field for this RFA</v>
      </c>
    </row>
    <row r="12" spans="1:26" ht="17.399999999999999" customHeight="1">
      <c r="B12" s="1570" t="s">
        <v>1945</v>
      </c>
      <c r="C12" s="1208" t="s">
        <v>2097</v>
      </c>
      <c r="D12" s="1208"/>
      <c r="E12" s="1208"/>
      <c r="F12" s="1208"/>
      <c r="G12" s="1629" t="s">
        <v>2</v>
      </c>
      <c r="I12" s="1208"/>
      <c r="J12" s="1208"/>
      <c r="K12" s="588">
        <f>M$6</f>
        <v>1</v>
      </c>
      <c r="L12" s="1632">
        <f>IF(G12&lt;&gt;"&lt;select one&gt;",K12,0)</f>
        <v>0</v>
      </c>
      <c r="M12" s="1373" t="str">
        <f>CHOOSE(K12+1,"Not to be included in this RFA","A REQUIRED input field for this RFA","An OPTIONAL input field for this RFA")</f>
        <v>A REQUIRED input field for this RFA</v>
      </c>
    </row>
    <row r="13" spans="1:26" ht="17.399999999999999" customHeight="1">
      <c r="B13" s="1208"/>
      <c r="D13" s="1208" t="s">
        <v>2071</v>
      </c>
      <c r="E13" s="1208"/>
      <c r="F13" s="1208"/>
      <c r="G13" s="1630"/>
      <c r="H13" s="1208"/>
      <c r="I13" s="1208"/>
      <c r="J13" s="1208"/>
      <c r="K13" s="588">
        <f>M$6</f>
        <v>1</v>
      </c>
      <c r="L13" s="1632">
        <f>IF(N(G13)&gt;0,K13,0)</f>
        <v>0</v>
      </c>
      <c r="M13" s="1373" t="str">
        <f>CHOOSE(K13+1,"Not to be included in this RFA","A REQUIRED input field for this RFA","An OPTIONAL input field for this RFA")</f>
        <v>A REQUIRED input field for this RFA</v>
      </c>
    </row>
    <row r="14" spans="1:26" ht="17.399999999999999" customHeight="1">
      <c r="B14" s="1570" t="s">
        <v>1946</v>
      </c>
      <c r="C14" s="1208" t="s">
        <v>2102</v>
      </c>
      <c r="D14" s="1208"/>
      <c r="E14" s="1208"/>
      <c r="F14" s="1208"/>
      <c r="G14" s="1208"/>
      <c r="H14" s="1208"/>
      <c r="I14" s="1208"/>
      <c r="J14" s="1208"/>
    </row>
    <row r="15" spans="1:26" ht="17.399999999999999" customHeight="1">
      <c r="B15" s="1570" t="s">
        <v>2098</v>
      </c>
      <c r="C15" s="1208" t="s">
        <v>2101</v>
      </c>
      <c r="D15" s="1208"/>
      <c r="E15" s="1208"/>
      <c r="F15" s="1208"/>
      <c r="G15" s="1208"/>
      <c r="H15" s="1208"/>
      <c r="I15" s="1208"/>
      <c r="J15" s="1208"/>
    </row>
    <row r="16" spans="1:26" ht="17.399999999999999" customHeight="1">
      <c r="B16" s="1570" t="s">
        <v>2099</v>
      </c>
      <c r="C16" s="1208" t="s">
        <v>2100</v>
      </c>
      <c r="D16" s="1208"/>
      <c r="E16" s="1208"/>
      <c r="F16" s="1208"/>
      <c r="G16" s="1208"/>
      <c r="H16" s="1208"/>
      <c r="I16" s="1208"/>
      <c r="J16" s="1208"/>
    </row>
    <row r="17" spans="1:13" ht="14.4" customHeight="1">
      <c r="B17" s="1208"/>
      <c r="C17" s="1208"/>
      <c r="D17" s="1208"/>
      <c r="E17" s="1208"/>
      <c r="F17" s="1208"/>
      <c r="G17" s="1208"/>
      <c r="H17" s="1208"/>
      <c r="I17" s="1208"/>
      <c r="J17" s="1208"/>
    </row>
    <row r="18" spans="1:13" ht="17.399999999999999" customHeight="1">
      <c r="A18" s="1569" t="s">
        <v>238</v>
      </c>
      <c r="B18" s="1573" t="s">
        <v>2092</v>
      </c>
      <c r="C18" s="1208"/>
      <c r="D18" s="1208"/>
      <c r="E18" s="1208"/>
      <c r="F18" s="1208"/>
      <c r="G18" s="1208"/>
      <c r="H18" s="1208"/>
      <c r="I18" s="1208"/>
      <c r="J18" s="1208"/>
    </row>
    <row r="19" spans="1:13" ht="17.399999999999999" customHeight="1">
      <c r="B19" s="1208" t="s">
        <v>2072</v>
      </c>
      <c r="C19" s="1208"/>
      <c r="D19" s="1208"/>
      <c r="E19" s="1208"/>
      <c r="F19" s="1629" t="s">
        <v>2</v>
      </c>
      <c r="G19" s="1208"/>
      <c r="I19" s="1208"/>
      <c r="J19" s="1208"/>
      <c r="K19" s="588">
        <v>1</v>
      </c>
      <c r="L19" s="1632">
        <f>IF(F19&lt;&gt;"&lt;select one&gt;",K19,0)</f>
        <v>0</v>
      </c>
      <c r="M19" s="1373" t="str">
        <f>CHOOSE(K19+1,"Not to be included in this RFA","A REQUIRED input field for this RFA","An OPTIONAL input field for this RFA")</f>
        <v>A REQUIRED input field for this RFA</v>
      </c>
    </row>
    <row r="20" spans="1:13" ht="14.4" customHeight="1">
      <c r="B20" s="1208"/>
      <c r="D20" s="1208" t="s">
        <v>2104</v>
      </c>
      <c r="E20" s="1208"/>
      <c r="F20" s="1208"/>
      <c r="G20" s="1208"/>
      <c r="H20" s="1208"/>
      <c r="I20" s="1208"/>
      <c r="J20" s="1208"/>
    </row>
    <row r="21" spans="1:13" ht="14.4" customHeight="1">
      <c r="B21" s="1208"/>
      <c r="D21" s="1208" t="s">
        <v>2103</v>
      </c>
      <c r="E21" s="1208"/>
      <c r="F21" s="1208"/>
      <c r="G21" s="1208"/>
      <c r="H21" s="1208"/>
      <c r="I21" s="1208"/>
      <c r="J21" s="1208"/>
    </row>
    <row r="22" spans="1:13" ht="14.4" customHeight="1">
      <c r="B22" s="1208"/>
      <c r="D22" s="1208" t="s">
        <v>2073</v>
      </c>
      <c r="E22" s="1208"/>
      <c r="F22" s="1208"/>
      <c r="G22" s="1208"/>
      <c r="H22" s="1208"/>
      <c r="I22" s="1208"/>
      <c r="J22" s="1208"/>
    </row>
    <row r="23" spans="1:13" ht="17.399999999999999" customHeight="1">
      <c r="B23" s="1208" t="s">
        <v>2074</v>
      </c>
      <c r="C23" s="1208"/>
      <c r="D23" s="1208"/>
      <c r="E23" s="1208"/>
      <c r="F23" s="1629" t="s">
        <v>2</v>
      </c>
      <c r="I23" s="2205" t="str">
        <f>IF(F19="Yes","(Questions (2) through (4) can be skipped based on the response in 11.c.(1) above)","")</f>
        <v/>
      </c>
      <c r="J23" s="1208"/>
      <c r="K23" s="588">
        <f>IF(F$19="Yes",2,1)</f>
        <v>1</v>
      </c>
      <c r="L23" s="1632">
        <f>IF(F23&lt;&gt;"&lt;select one&gt;",K23,0)</f>
        <v>0</v>
      </c>
      <c r="M23" s="1373" t="str">
        <f>CHOOSE(K23+1,"Not to be included in this RFA","A REQUIRED input field for this RFA","An OPTIONAL input field for this RFA")</f>
        <v>A REQUIRED input field for this RFA</v>
      </c>
    </row>
    <row r="24" spans="1:13">
      <c r="B24" s="1208"/>
      <c r="D24" s="1208" t="s">
        <v>2106</v>
      </c>
      <c r="E24" s="1208"/>
      <c r="F24" s="1208"/>
      <c r="G24" s="1208"/>
      <c r="H24" s="1208"/>
      <c r="I24" s="2205"/>
      <c r="J24" s="1208"/>
    </row>
    <row r="25" spans="1:13">
      <c r="B25" s="1208"/>
      <c r="D25" s="1208" t="s">
        <v>2105</v>
      </c>
      <c r="E25" s="1208"/>
      <c r="F25" s="1208"/>
      <c r="G25" s="1208"/>
      <c r="H25" s="1208"/>
      <c r="I25" s="2205"/>
      <c r="J25" s="1208"/>
    </row>
    <row r="26" spans="1:13">
      <c r="B26" s="1208"/>
      <c r="D26" s="1208" t="s">
        <v>2075</v>
      </c>
      <c r="E26" s="1208"/>
      <c r="F26" s="1208"/>
      <c r="G26" s="1208"/>
      <c r="H26" s="1208"/>
      <c r="I26" s="2205"/>
      <c r="J26" s="1208"/>
    </row>
    <row r="27" spans="1:13" ht="17.399999999999999" customHeight="1">
      <c r="B27" s="1208" t="s">
        <v>2076</v>
      </c>
      <c r="C27" s="1208"/>
      <c r="D27" s="1208"/>
      <c r="E27" s="1208"/>
      <c r="F27" s="1629" t="s">
        <v>2</v>
      </c>
      <c r="G27" s="1208"/>
      <c r="H27" s="2206" t="str">
        <f>IF(F23="Yes","(Questions (3) and (4) can be skipped based on the response in 11.c.(2) above)","")</f>
        <v/>
      </c>
      <c r="I27" s="2205"/>
      <c r="J27" s="1208"/>
      <c r="K27" s="588">
        <f>IF(OR(F$19="Yes",F$23="Yes"),2,1)</f>
        <v>1</v>
      </c>
      <c r="L27" s="1632">
        <f>IF(F27&lt;&gt;"&lt;select one&gt;",K27,0)</f>
        <v>0</v>
      </c>
      <c r="M27" s="1373" t="str">
        <f>CHOOSE(K27+1,"Not to be included in this RFA","A REQUIRED input field for this RFA","An OPTIONAL input field for this RFA")</f>
        <v>A REQUIRED input field for this RFA</v>
      </c>
    </row>
    <row r="28" spans="1:13" ht="14.4" customHeight="1">
      <c r="B28" s="1208"/>
      <c r="D28" s="1208" t="s">
        <v>2077</v>
      </c>
      <c r="E28" s="1208"/>
      <c r="F28" s="1208"/>
      <c r="G28" s="1208"/>
      <c r="H28" s="2206"/>
      <c r="I28" s="2205"/>
      <c r="J28" s="1208"/>
    </row>
    <row r="29" spans="1:13" ht="14.4" customHeight="1">
      <c r="B29" s="1208"/>
      <c r="D29" s="1208" t="s">
        <v>2078</v>
      </c>
      <c r="E29" s="1208"/>
      <c r="F29" s="1208"/>
      <c r="G29" s="1208"/>
      <c r="H29" s="2206"/>
      <c r="I29" s="2205"/>
      <c r="J29" s="1208"/>
    </row>
    <row r="30" spans="1:13" ht="17.399999999999999" customHeight="1">
      <c r="B30" s="1208" t="s">
        <v>2079</v>
      </c>
      <c r="C30" s="1208"/>
      <c r="D30" s="1208"/>
      <c r="E30" s="1208"/>
      <c r="F30" s="1629" t="s">
        <v>2</v>
      </c>
      <c r="G30" s="2206" t="str">
        <f>IF(F27="No","(Question (4) can be skipped based on the response in 11.c.(3) above)","")</f>
        <v/>
      </c>
      <c r="H30" s="2206"/>
      <c r="I30" s="2205"/>
      <c r="J30" s="1208"/>
      <c r="K30" s="588">
        <f>IF(OR(F$19="Yes",F$23="Yes",F$27="No"),2,1)</f>
        <v>1</v>
      </c>
      <c r="L30" s="1632">
        <f>IF(F30&lt;&gt;"&lt;select one&gt;",K30,0)</f>
        <v>0</v>
      </c>
      <c r="M30" s="1373" t="str">
        <f>CHOOSE(K30+1,"Not to be included in this RFA","A REQUIRED input field for this RFA","An OPTIONAL input field for this RFA")</f>
        <v>A REQUIRED input field for this RFA</v>
      </c>
    </row>
    <row r="31" spans="1:13" ht="14.4" customHeight="1">
      <c r="B31" s="1208"/>
      <c r="D31" s="1443" t="s">
        <v>2080</v>
      </c>
      <c r="E31" s="1208"/>
      <c r="F31" s="1208"/>
      <c r="G31" s="2206"/>
      <c r="H31" s="2206"/>
      <c r="I31" s="2205"/>
      <c r="J31" s="1208"/>
    </row>
    <row r="32" spans="1:13" ht="14.4" customHeight="1">
      <c r="B32" s="1208"/>
      <c r="D32" s="1208" t="s">
        <v>2081</v>
      </c>
      <c r="E32" s="1208"/>
      <c r="F32" s="1208"/>
      <c r="G32" s="2206"/>
      <c r="H32" s="2206"/>
      <c r="I32" s="2205"/>
      <c r="J32" s="1208"/>
    </row>
    <row r="33" spans="7:7" ht="15.6" customHeight="1">
      <c r="G33" s="2206"/>
    </row>
    <row r="34" spans="7:7" ht="15.6" customHeight="1">
      <c r="G34" s="2206"/>
    </row>
    <row r="35" spans="7:7" ht="15.6" customHeight="1"/>
    <row r="36" spans="7:7" ht="15.6" customHeight="1"/>
    <row r="37" spans="7:7" ht="15.6" customHeight="1"/>
    <row r="38" spans="7:7" ht="15.6" customHeight="1"/>
    <row r="39" spans="7:7" ht="15.6" customHeight="1"/>
    <row r="40" spans="7:7" ht="15.6" customHeight="1"/>
    <row r="41" spans="7:7" ht="15.6" customHeight="1"/>
    <row r="42" spans="7:7" ht="15.6" customHeight="1"/>
    <row r="43" spans="7:7" ht="15.6" customHeight="1"/>
  </sheetData>
  <sheetProtection algorithmName="SHA-512" hashValue="WL8KfPbirv0REVtJP1F98VDWAczvbRtVM1JF6G+WWK0AgP7icepzh3Uq8wLixbrUuvjQRBlKoi63pGlOjjrjwA==" saltValue="+FDBAdJ/SfiMzmnWpxaebw==" spinCount="100000" sheet="1" formatRows="0" selectLockedCells="1"/>
  <mergeCells count="10">
    <mergeCell ref="M9:M10"/>
    <mergeCell ref="L9:L10"/>
    <mergeCell ref="K9:K10"/>
    <mergeCell ref="A1:I1"/>
    <mergeCell ref="K1:U2"/>
    <mergeCell ref="I23:I32"/>
    <mergeCell ref="H27:H32"/>
    <mergeCell ref="G30:G34"/>
    <mergeCell ref="H9:H10"/>
    <mergeCell ref="C9:G10"/>
  </mergeCells>
  <conditionalFormatting sqref="E3">
    <cfRule type="cellIs" dxfId="18" priority="25" operator="notEqual">
      <formula>"&lt;select one&gt;"</formula>
    </cfRule>
  </conditionalFormatting>
  <conditionalFormatting sqref="H9">
    <cfRule type="cellIs" dxfId="17" priority="28" operator="notEqual">
      <formula>"&lt;select one&gt;"</formula>
    </cfRule>
  </conditionalFormatting>
  <conditionalFormatting sqref="G12">
    <cfRule type="cellIs" dxfId="16" priority="30" operator="notEqual">
      <formula>"&lt;select one&gt;"</formula>
    </cfRule>
  </conditionalFormatting>
  <conditionalFormatting sqref="G13">
    <cfRule type="cellIs" dxfId="15" priority="31" operator="notEqual">
      <formula>""</formula>
    </cfRule>
  </conditionalFormatting>
  <conditionalFormatting sqref="F19">
    <cfRule type="cellIs" dxfId="14" priority="32" operator="notEqual">
      <formula>"&lt;select one&gt;"</formula>
    </cfRule>
  </conditionalFormatting>
  <conditionalFormatting sqref="F23">
    <cfRule type="cellIs" dxfId="13" priority="33" operator="notEqual">
      <formula>"&lt;select one&gt;"</formula>
    </cfRule>
  </conditionalFormatting>
  <conditionalFormatting sqref="F27">
    <cfRule type="cellIs" dxfId="12" priority="34" operator="notEqual">
      <formula>"&lt;select one&gt;"</formula>
    </cfRule>
  </conditionalFormatting>
  <conditionalFormatting sqref="F30">
    <cfRule type="cellIs" dxfId="11" priority="35" operator="notEqual">
      <formula>"&lt;select one&gt;"</formula>
    </cfRule>
  </conditionalFormatting>
  <conditionalFormatting sqref="F7">
    <cfRule type="cellIs" dxfId="10" priority="26" operator="notEqual">
      <formula>""</formula>
    </cfRule>
  </conditionalFormatting>
  <conditionalFormatting sqref="E8">
    <cfRule type="cellIs" dxfId="9" priority="27" operator="notEqual">
      <formula>""</formula>
    </cfRule>
  </conditionalFormatting>
  <conditionalFormatting sqref="F11">
    <cfRule type="cellIs" dxfId="8" priority="29" operator="notEqual">
      <formula>""</formula>
    </cfRule>
  </conditionalFormatting>
  <conditionalFormatting sqref="F11 G13 F7 E8">
    <cfRule type="cellIs" dxfId="7" priority="24" operator="equal">
      <formula>""</formula>
    </cfRule>
  </conditionalFormatting>
  <conditionalFormatting sqref="E3 G12 F19 H9 F23 F27 F30">
    <cfRule type="cellIs" dxfId="6" priority="23" operator="equal">
      <formula>"&lt;select one&gt;"</formula>
    </cfRule>
  </conditionalFormatting>
  <dataValidations count="3">
    <dataValidation type="list" allowBlank="1" showInputMessage="1" showErrorMessage="1" sqref="E3 H9 G12 F30 F19 F23 F27" xr:uid="{B4D4E641-2AA2-4BE8-8F69-DCA6779DE81C}">
      <formula1>"&lt;select one&gt;, Yes, No"</formula1>
    </dataValidation>
    <dataValidation type="whole" allowBlank="1" showErrorMessage="1" error="Please enter a whole number." sqref="F7 E8 F11 G13" xr:uid="{4B7F993F-B688-4F8A-AEF0-DC5F98699FDB}">
      <formula1>0</formula1>
      <formula2>4000</formula2>
    </dataValidation>
    <dataValidation type="custom" allowBlank="1" showInputMessage="1" showErrorMessage="1" sqref="K3 K27 K7:K9 K19 K23 K11:K13 K30" xr:uid="{E772DD09-6EA9-40A5-8C60-3A9964BDD884}">
      <formula1>AND(K3&gt;=0,K3&lt;3,K3=ROUND(K3,0))</formula1>
    </dataValidation>
  </dataValidations>
  <pageMargins left="0.7" right="0.7" top="0.75" bottom="0.75" header="0.3" footer="0.3"/>
  <pageSetup scale="8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9" id="{844A368B-A353-4D9C-903A-5E628EDD005E}">
            <xm:f>Data1!$E$513="Yes"</xm:f>
            <x14:dxf>
              <font>
                <color theme="0"/>
              </font>
              <fill>
                <patternFill>
                  <bgColor theme="0"/>
                </patternFill>
              </fill>
              <border>
                <left/>
                <right/>
                <top/>
                <bottom/>
                <vertical/>
                <horizontal/>
              </border>
            </x14:dxf>
          </x14:cfRule>
          <xm:sqref>K3:M3 K6:M13 K19:M19 K23:M23 K27:M27 K30:M30</xm:sqref>
        </x14:conditionalFormatting>
        <x14:conditionalFormatting xmlns:xm="http://schemas.microsoft.com/office/excel/2006/main">
          <x14:cfRule type="expression" priority="10" id="{0E9793E6-1DD0-497D-ADCC-C188EDA12341}">
            <xm:f>Data1!$E$509="Yes"</xm:f>
            <x14:dxf>
              <font>
                <color theme="0"/>
              </font>
              <fill>
                <patternFill>
                  <bgColor theme="0"/>
                </patternFill>
              </fill>
              <border>
                <left/>
                <right/>
                <top/>
                <bottom/>
                <vertical/>
                <horizontal/>
              </border>
            </x14:dxf>
          </x14:cfRule>
          <xm:sqref>K30:M30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546875" defaultRowHeight="14.4"/>
  <cols>
    <col min="1" max="1" width="3" style="42" customWidth="1"/>
    <col min="2" max="3" width="3.5546875" style="42" customWidth="1"/>
    <col min="4" max="4" width="4.44140625" style="42" customWidth="1"/>
    <col min="5" max="8" width="16.44140625" style="42" customWidth="1"/>
    <col min="9" max="9" width="15.6640625" style="42" customWidth="1"/>
    <col min="10" max="10" width="15.33203125" style="42" customWidth="1"/>
    <col min="11" max="16384" width="8.5546875" style="42"/>
  </cols>
  <sheetData>
    <row r="1" spans="1:10" ht="35.85" customHeight="1" thickBot="1">
      <c r="A1" s="1714" t="s">
        <v>451</v>
      </c>
      <c r="B1" s="1715"/>
      <c r="C1" s="1715"/>
      <c r="D1" s="1715"/>
      <c r="E1" s="1715"/>
      <c r="F1" s="1715"/>
      <c r="G1" s="1715"/>
      <c r="H1" s="1715"/>
      <c r="I1" s="1715"/>
      <c r="J1" s="1716"/>
    </row>
    <row r="2" spans="1:10" ht="14.4" customHeight="1">
      <c r="A2" s="4"/>
      <c r="B2" s="4"/>
      <c r="C2" s="4"/>
      <c r="D2" s="4"/>
      <c r="E2" s="4"/>
      <c r="F2" s="4"/>
      <c r="G2" s="4"/>
      <c r="H2" s="4"/>
      <c r="I2" s="4"/>
      <c r="J2" s="4"/>
    </row>
    <row r="3" spans="1:10" ht="43.5" customHeight="1">
      <c r="A3" s="1829" t="s">
        <v>934</v>
      </c>
      <c r="B3" s="1829"/>
      <c r="C3" s="1829"/>
      <c r="D3" s="1829"/>
      <c r="E3" s="1829"/>
      <c r="F3" s="1829"/>
      <c r="G3" s="1829"/>
      <c r="H3" s="1829"/>
      <c r="I3" s="1829"/>
      <c r="J3" s="1829"/>
    </row>
    <row r="4" spans="1:10" ht="17.399999999999999" customHeight="1">
      <c r="A4" s="451" t="s">
        <v>930</v>
      </c>
      <c r="B4" s="409" t="s">
        <v>931</v>
      </c>
      <c r="C4" s="408"/>
      <c r="D4" s="408"/>
      <c r="E4" s="408"/>
      <c r="F4" s="408"/>
      <c r="G4" s="408"/>
      <c r="H4" s="408"/>
      <c r="I4" s="408"/>
      <c r="J4" s="408"/>
    </row>
    <row r="5" spans="1:10" ht="17.399999999999999" customHeight="1">
      <c r="A5" s="451" t="s">
        <v>930</v>
      </c>
      <c r="B5" s="409" t="s">
        <v>932</v>
      </c>
      <c r="C5" s="408"/>
      <c r="D5" s="408"/>
      <c r="E5" s="408"/>
      <c r="F5" s="408"/>
      <c r="G5" s="408"/>
      <c r="H5" s="408"/>
      <c r="I5" s="408"/>
      <c r="J5" s="408"/>
    </row>
    <row r="6" spans="1:10" ht="29.1" customHeight="1">
      <c r="A6" s="451" t="s">
        <v>930</v>
      </c>
      <c r="B6" s="1829" t="s">
        <v>933</v>
      </c>
      <c r="C6" s="1829"/>
      <c r="D6" s="1829"/>
      <c r="E6" s="1829"/>
      <c r="F6" s="1829"/>
      <c r="G6" s="1829"/>
      <c r="H6" s="1829"/>
      <c r="I6" s="1829"/>
      <c r="J6" s="1829"/>
    </row>
    <row r="7" spans="1:10" ht="10.35" customHeight="1">
      <c r="A7" s="408"/>
      <c r="B7" s="408"/>
      <c r="C7" s="408"/>
      <c r="D7" s="408"/>
      <c r="E7" s="408"/>
      <c r="F7" s="408"/>
      <c r="G7" s="408"/>
      <c r="H7" s="408"/>
      <c r="I7" s="408"/>
      <c r="J7" s="408"/>
    </row>
    <row r="8" spans="1:10">
      <c r="A8" s="2218"/>
      <c r="B8" s="2218"/>
      <c r="C8" s="2218"/>
      <c r="D8" s="2218"/>
      <c r="E8" s="2218"/>
      <c r="F8" s="2218"/>
      <c r="G8" s="2218"/>
      <c r="H8" s="2218"/>
      <c r="I8" s="2218"/>
      <c r="J8" s="2218"/>
    </row>
    <row r="9" spans="1:10">
      <c r="A9" s="2219"/>
      <c r="B9" s="2219"/>
      <c r="C9" s="2219"/>
      <c r="D9" s="2219"/>
      <c r="E9" s="2219"/>
      <c r="F9" s="2219"/>
      <c r="G9" s="2219"/>
      <c r="H9" s="2219"/>
      <c r="I9" s="2219"/>
      <c r="J9" s="2219"/>
    </row>
    <row r="10" spans="1:10" s="45" customFormat="1" ht="15" thickBot="1">
      <c r="A10" s="66"/>
      <c r="B10" s="66"/>
      <c r="C10" s="66"/>
      <c r="D10" s="66"/>
      <c r="E10" s="66"/>
      <c r="F10" s="3"/>
      <c r="G10" s="3"/>
      <c r="H10" s="3"/>
      <c r="I10" s="3"/>
      <c r="J10" s="3"/>
    </row>
    <row r="11" spans="1:10" ht="35.85" customHeight="1" thickBot="1">
      <c r="A11" s="1714" t="s">
        <v>452</v>
      </c>
      <c r="B11" s="1715"/>
      <c r="C11" s="1715"/>
      <c r="D11" s="1715"/>
      <c r="E11" s="1715"/>
      <c r="F11" s="1715"/>
      <c r="G11" s="1715"/>
      <c r="H11" s="1715"/>
      <c r="I11" s="1715"/>
      <c r="J11" s="1716"/>
    </row>
    <row r="12" spans="1:10" ht="14.4" customHeight="1">
      <c r="A12" s="75"/>
      <c r="B12" s="75"/>
      <c r="C12" s="75"/>
      <c r="D12" s="75"/>
      <c r="E12" s="75"/>
      <c r="F12" s="75"/>
      <c r="G12" s="75"/>
      <c r="H12" s="75"/>
      <c r="I12" s="75"/>
      <c r="J12" s="75"/>
    </row>
    <row r="13" spans="1:10" ht="14.4" customHeight="1">
      <c r="A13" s="6" t="s">
        <v>453</v>
      </c>
      <c r="B13" s="75"/>
      <c r="C13" s="75"/>
      <c r="D13" s="75"/>
      <c r="E13" s="75"/>
      <c r="F13" s="75"/>
      <c r="G13" s="75"/>
      <c r="H13" s="75"/>
      <c r="I13" s="75"/>
      <c r="J13" s="75"/>
    </row>
    <row r="14" spans="1:10" ht="10.35" customHeight="1" thickBot="1">
      <c r="A14" s="4"/>
      <c r="B14" s="4"/>
      <c r="C14" s="4"/>
      <c r="D14" s="4"/>
      <c r="E14" s="4"/>
      <c r="F14" s="4"/>
      <c r="G14" s="4"/>
      <c r="H14" s="4"/>
      <c r="I14" s="4"/>
      <c r="J14" s="4"/>
    </row>
    <row r="15" spans="1:10" ht="35.85" customHeight="1" thickBot="1">
      <c r="A15" s="1714" t="s">
        <v>454</v>
      </c>
      <c r="B15" s="1715"/>
      <c r="C15" s="1715"/>
      <c r="D15" s="1715"/>
      <c r="E15" s="1715"/>
      <c r="F15" s="1715"/>
      <c r="G15" s="1715"/>
      <c r="H15" s="1715"/>
      <c r="I15" s="1715"/>
      <c r="J15" s="1716"/>
    </row>
    <row r="16" spans="1:10" ht="14.4" customHeight="1"/>
    <row r="17" spans="1:10" ht="45" customHeight="1">
      <c r="A17" s="1829" t="s">
        <v>455</v>
      </c>
      <c r="B17" s="1829"/>
      <c r="C17" s="1829"/>
      <c r="D17" s="1829"/>
      <c r="E17" s="1829"/>
      <c r="F17" s="1829"/>
      <c r="G17" s="1829"/>
      <c r="H17" s="1829"/>
      <c r="I17" s="1829"/>
      <c r="J17" s="1829"/>
    </row>
    <row r="18" spans="1:10" ht="249.9" customHeight="1">
      <c r="A18" s="2217"/>
      <c r="B18" s="2217"/>
      <c r="C18" s="2217"/>
      <c r="D18" s="2217"/>
      <c r="E18" s="2217"/>
      <c r="F18" s="2217"/>
      <c r="G18" s="2217"/>
      <c r="H18" s="2217"/>
      <c r="I18" s="2217"/>
      <c r="J18" s="2217"/>
    </row>
    <row r="19" spans="1:10" ht="408.9" customHeight="1">
      <c r="A19" s="2217"/>
      <c r="B19" s="2217"/>
      <c r="C19" s="2217"/>
      <c r="D19" s="2217"/>
      <c r="E19" s="2217"/>
      <c r="F19" s="2217"/>
      <c r="G19" s="2217"/>
      <c r="H19" s="2217"/>
      <c r="I19" s="2217"/>
      <c r="J19" s="2217"/>
    </row>
  </sheetData>
  <sheetProtection algorithmName="SHA-512" hashValue="8ostQDkZEna3T1rPpbO6CskVFy23fWeQ1EAuQNyoczu5Q4RRxyekdItr4lVwWXJJIUpETUOHyTfM0lzpfixfJQ==" saltValue="wl0gZ26yn/LDeVh+UQFKzw==" spinCount="100000" sheet="1" formatRows="0"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3" priority="3" operator="notEqual">
      <formula>""</formula>
    </cfRule>
  </conditionalFormatting>
  <conditionalFormatting sqref="A19:J19">
    <cfRule type="expression" dxfId="2" priority="4">
      <formula>$A$18&lt;&gt;""</formula>
    </cfRule>
  </conditionalFormatting>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D62A4-059F-42BA-B6CB-91D087127193}">
  <sheetPr codeName="Sheet21"/>
  <dimension ref="A1:K12"/>
  <sheetViews>
    <sheetView showGridLines="0" zoomScaleNormal="100" zoomScaleSheetLayoutView="100" workbookViewId="0">
      <pane ySplit="2" topLeftCell="A3" activePane="bottomLeft" state="frozen"/>
      <selection pane="bottomLeft" activeCell="A2" sqref="A2"/>
    </sheetView>
  </sheetViews>
  <sheetFormatPr defaultColWidth="8.6640625" defaultRowHeight="14.4"/>
  <cols>
    <col min="1" max="1" width="3" customWidth="1"/>
    <col min="2" max="3" width="3.6640625" customWidth="1"/>
    <col min="4" max="6" width="4.44140625" customWidth="1"/>
    <col min="7" max="10" width="17.6640625" customWidth="1"/>
    <col min="11" max="11" width="16.6640625" customWidth="1"/>
  </cols>
  <sheetData>
    <row r="1" spans="1:11" ht="35.700000000000003" customHeight="1" thickBot="1">
      <c r="A1" s="2214" t="s">
        <v>2016</v>
      </c>
      <c r="B1" s="2215"/>
      <c r="C1" s="2215"/>
      <c r="D1" s="2215"/>
      <c r="E1" s="2215"/>
      <c r="F1" s="2215"/>
      <c r="G1" s="2215"/>
      <c r="H1" s="2215"/>
      <c r="I1" s="2215"/>
      <c r="J1" s="2215"/>
      <c r="K1" s="2216"/>
    </row>
    <row r="3" spans="1:11" ht="14.4" customHeight="1">
      <c r="A3" s="2220" t="s">
        <v>2017</v>
      </c>
      <c r="B3" s="2220"/>
      <c r="C3" s="2220"/>
      <c r="D3" s="2220"/>
      <c r="E3" s="2220"/>
      <c r="F3" s="2220"/>
      <c r="G3" s="2220"/>
      <c r="H3" s="2220"/>
      <c r="I3" s="2220"/>
      <c r="J3" s="2220"/>
      <c r="K3" s="2220"/>
    </row>
    <row r="4" spans="1:11">
      <c r="A4" s="2220"/>
      <c r="B4" s="2220"/>
      <c r="C4" s="2220"/>
      <c r="D4" s="2220"/>
      <c r="E4" s="2220"/>
      <c r="F4" s="2220"/>
      <c r="G4" s="2220"/>
      <c r="H4" s="2220"/>
      <c r="I4" s="2220"/>
      <c r="J4" s="2220"/>
      <c r="K4" s="2220"/>
    </row>
    <row r="5" spans="1:11">
      <c r="A5" s="2220"/>
      <c r="B5" s="2220"/>
      <c r="C5" s="2220"/>
      <c r="D5" s="2220"/>
      <c r="E5" s="2220"/>
      <c r="F5" s="2220"/>
      <c r="G5" s="2220"/>
      <c r="H5" s="2220"/>
      <c r="I5" s="2220"/>
      <c r="J5" s="2220"/>
      <c r="K5" s="2220"/>
    </row>
    <row r="6" spans="1:11">
      <c r="A6" s="2220"/>
      <c r="B6" s="2220"/>
      <c r="C6" s="2220"/>
      <c r="D6" s="2220"/>
      <c r="E6" s="2220"/>
      <c r="F6" s="2220"/>
      <c r="G6" s="2220"/>
      <c r="H6" s="2220"/>
      <c r="I6" s="2220"/>
      <c r="J6" s="2220"/>
      <c r="K6" s="2220"/>
    </row>
    <row r="10" spans="1:11">
      <c r="B10" s="1166"/>
    </row>
    <row r="11" spans="1:11">
      <c r="B11" s="1166"/>
    </row>
    <row r="12" spans="1:11">
      <c r="B12" s="1166"/>
    </row>
  </sheetData>
  <sheetProtection algorithmName="SHA-512" hashValue="9K5MUHketcjdWIHkgPfT6vJD+dDzKsxiRveBlqEr8Trb5uO+qNUQGLUkQpT4UprzO+68enPgK9fUXOIdXEmfdg==" saltValue="wZZhpXCBxUjW3pm3OD1qAw==" spinCount="100000" sheet="1" formatRows="0" selectLockedCells="1"/>
  <mergeCells count="2">
    <mergeCell ref="A1:K1"/>
    <mergeCell ref="A3:K6"/>
  </mergeCells>
  <pageMargins left="0.7" right="0.7" top="0.75" bottom="0.75" header="0.3" footer="0.3"/>
  <pageSetup scale="8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34"/>
  <sheetViews>
    <sheetView showGridLines="0" zoomScaleNormal="100" workbookViewId="0">
      <pane ySplit="2" topLeftCell="A3" activePane="bottomLeft" state="frozen"/>
      <selection pane="bottomLeft" activeCell="K29" sqref="K29:M29"/>
    </sheetView>
  </sheetViews>
  <sheetFormatPr defaultColWidth="8.5546875" defaultRowHeight="14.4"/>
  <cols>
    <col min="1" max="1" width="3.5546875" style="67" customWidth="1"/>
    <col min="2" max="3" width="3.5546875" style="42" customWidth="1"/>
    <col min="4" max="4" width="4.44140625" style="42" customWidth="1"/>
    <col min="5" max="12" width="8.5546875" style="42"/>
    <col min="13" max="13" width="27.88671875" style="42" customWidth="1"/>
    <col min="14" max="16384" width="8.5546875" style="42"/>
  </cols>
  <sheetData>
    <row r="1" spans="1:14" ht="35.85" customHeight="1" thickBot="1">
      <c r="A1" s="2222" t="s">
        <v>1936</v>
      </c>
      <c r="B1" s="2223"/>
      <c r="C1" s="2223"/>
      <c r="D1" s="2223"/>
      <c r="E1" s="2223"/>
      <c r="F1" s="2223"/>
      <c r="G1" s="2223"/>
      <c r="H1" s="2223"/>
      <c r="I1" s="2223"/>
      <c r="J1" s="2223"/>
      <c r="K1" s="2223"/>
      <c r="L1" s="2223"/>
      <c r="M1" s="2224"/>
    </row>
    <row r="2" spans="1:14" ht="14.4" customHeight="1">
      <c r="A2" s="8"/>
      <c r="B2" s="4"/>
      <c r="C2" s="4"/>
      <c r="D2" s="4"/>
      <c r="E2" s="4"/>
      <c r="F2" s="4"/>
      <c r="G2" s="4"/>
      <c r="H2" s="4"/>
      <c r="I2" s="4"/>
      <c r="J2" s="4"/>
      <c r="K2" s="4"/>
      <c r="L2" s="4"/>
      <c r="M2" s="4"/>
    </row>
    <row r="3" spans="1:14" ht="14.4" customHeight="1">
      <c r="A3" s="2225" t="s">
        <v>456</v>
      </c>
      <c r="B3" s="2225"/>
      <c r="C3" s="2225"/>
      <c r="D3" s="2225"/>
      <c r="E3" s="2225"/>
      <c r="F3" s="2225"/>
      <c r="G3" s="2225"/>
      <c r="H3" s="2225"/>
      <c r="I3" s="2225"/>
      <c r="J3" s="2225"/>
      <c r="K3" s="2225"/>
      <c r="L3" s="2225"/>
      <c r="M3" s="2225"/>
    </row>
    <row r="4" spans="1:14" ht="10.35" customHeight="1">
      <c r="A4" s="8"/>
      <c r="B4" s="6"/>
      <c r="C4" s="6"/>
      <c r="D4" s="6"/>
      <c r="E4" s="6"/>
      <c r="F4" s="176"/>
      <c r="G4" s="176"/>
      <c r="H4" s="176"/>
      <c r="I4" s="176"/>
      <c r="J4" s="176"/>
      <c r="K4" s="6"/>
      <c r="L4" s="6"/>
      <c r="M4" s="6"/>
    </row>
    <row r="5" spans="1:14" ht="83.25" customHeight="1">
      <c r="A5" s="83" t="s">
        <v>457</v>
      </c>
      <c r="B5" s="1829" t="s">
        <v>458</v>
      </c>
      <c r="C5" s="1829"/>
      <c r="D5" s="1829"/>
      <c r="E5" s="1829"/>
      <c r="F5" s="1829"/>
      <c r="G5" s="1829"/>
      <c r="H5" s="1829"/>
      <c r="I5" s="1829"/>
      <c r="J5" s="1829"/>
      <c r="K5" s="1829"/>
      <c r="L5" s="1829"/>
      <c r="M5" s="1829"/>
      <c r="N5" s="85"/>
    </row>
    <row r="6" spans="1:14" ht="31.5" customHeight="1">
      <c r="A6" s="83" t="s">
        <v>459</v>
      </c>
      <c r="B6" s="1829" t="s">
        <v>2022</v>
      </c>
      <c r="C6" s="1829"/>
      <c r="D6" s="1829"/>
      <c r="E6" s="1829"/>
      <c r="F6" s="1829"/>
      <c r="G6" s="1829"/>
      <c r="H6" s="1829"/>
      <c r="I6" s="1829"/>
      <c r="J6" s="1829"/>
      <c r="K6" s="1829"/>
      <c r="L6" s="1829"/>
      <c r="M6" s="1829"/>
    </row>
    <row r="7" spans="1:14" ht="31.5" customHeight="1">
      <c r="A7" s="83" t="s">
        <v>460</v>
      </c>
      <c r="B7" s="1829" t="s">
        <v>461</v>
      </c>
      <c r="C7" s="1829"/>
      <c r="D7" s="1829"/>
      <c r="E7" s="1829"/>
      <c r="F7" s="1829"/>
      <c r="G7" s="1829"/>
      <c r="H7" s="1829"/>
      <c r="I7" s="1829"/>
      <c r="J7" s="1829"/>
      <c r="K7" s="1829"/>
      <c r="L7" s="1829"/>
      <c r="M7" s="1829"/>
    </row>
    <row r="8" spans="1:14" ht="47.25" customHeight="1">
      <c r="A8" s="83" t="s">
        <v>462</v>
      </c>
      <c r="B8" s="1829" t="s">
        <v>463</v>
      </c>
      <c r="C8" s="1829"/>
      <c r="D8" s="1829"/>
      <c r="E8" s="1829"/>
      <c r="F8" s="1829"/>
      <c r="G8" s="1829"/>
      <c r="H8" s="1829"/>
      <c r="I8" s="1829"/>
      <c r="J8" s="1829"/>
      <c r="K8" s="1829"/>
      <c r="L8" s="1829"/>
      <c r="M8" s="1829"/>
    </row>
    <row r="9" spans="1:14" ht="94.5" customHeight="1">
      <c r="A9" s="83" t="s">
        <v>464</v>
      </c>
      <c r="B9" s="1829" t="s">
        <v>465</v>
      </c>
      <c r="C9" s="1829"/>
      <c r="D9" s="1829"/>
      <c r="E9" s="1829"/>
      <c r="F9" s="1829"/>
      <c r="G9" s="1829"/>
      <c r="H9" s="1829"/>
      <c r="I9" s="1829"/>
      <c r="J9" s="1829"/>
      <c r="K9" s="1829"/>
      <c r="L9" s="1829"/>
      <c r="M9" s="1829"/>
    </row>
    <row r="10" spans="1:14" ht="63" customHeight="1">
      <c r="A10" s="83" t="s">
        <v>466</v>
      </c>
      <c r="B10" s="1829" t="s">
        <v>467</v>
      </c>
      <c r="C10" s="1829"/>
      <c r="D10" s="1829"/>
      <c r="E10" s="1829"/>
      <c r="F10" s="1829"/>
      <c r="G10" s="1829"/>
      <c r="H10" s="1829"/>
      <c r="I10" s="1829"/>
      <c r="J10" s="1829"/>
      <c r="K10" s="1829"/>
      <c r="L10" s="1829"/>
      <c r="M10" s="1829"/>
    </row>
    <row r="11" spans="1:14" ht="94.5" customHeight="1">
      <c r="A11" s="83" t="s">
        <v>468</v>
      </c>
      <c r="B11" s="1829" t="s">
        <v>469</v>
      </c>
      <c r="C11" s="1829"/>
      <c r="D11" s="1829"/>
      <c r="E11" s="1829"/>
      <c r="F11" s="1829"/>
      <c r="G11" s="1829"/>
      <c r="H11" s="1829"/>
      <c r="I11" s="1829"/>
      <c r="J11" s="1829"/>
      <c r="K11" s="1829"/>
      <c r="L11" s="1829"/>
      <c r="M11" s="1829"/>
    </row>
    <row r="12" spans="1:14" ht="138" customHeight="1">
      <c r="A12" s="83" t="s">
        <v>470</v>
      </c>
      <c r="B12" s="1829" t="s">
        <v>471</v>
      </c>
      <c r="C12" s="1829"/>
      <c r="D12" s="1829"/>
      <c r="E12" s="1829"/>
      <c r="F12" s="1829"/>
      <c r="G12" s="1829"/>
      <c r="H12" s="1829"/>
      <c r="I12" s="1829"/>
      <c r="J12" s="1829"/>
      <c r="K12" s="1829"/>
      <c r="L12" s="1829"/>
      <c r="M12" s="1829"/>
    </row>
    <row r="13" spans="1:14" ht="36" customHeight="1">
      <c r="A13" s="83" t="s">
        <v>472</v>
      </c>
      <c r="B13" s="1829" t="s">
        <v>2023</v>
      </c>
      <c r="C13" s="1829"/>
      <c r="D13" s="1829"/>
      <c r="E13" s="1829"/>
      <c r="F13" s="1829"/>
      <c r="G13" s="1829"/>
      <c r="H13" s="1829"/>
      <c r="I13" s="1829"/>
      <c r="J13" s="1829"/>
      <c r="K13" s="1829"/>
      <c r="L13" s="1829"/>
      <c r="M13" s="1829"/>
    </row>
    <row r="14" spans="1:14" ht="80.25" customHeight="1">
      <c r="A14" s="83" t="s">
        <v>473</v>
      </c>
      <c r="B14" s="1829" t="s">
        <v>2024</v>
      </c>
      <c r="C14" s="1829"/>
      <c r="D14" s="1829"/>
      <c r="E14" s="1829"/>
      <c r="F14" s="1829"/>
      <c r="G14" s="1829"/>
      <c r="H14" s="1829"/>
      <c r="I14" s="1829"/>
      <c r="J14" s="1829"/>
      <c r="K14" s="1829"/>
      <c r="L14" s="1829"/>
      <c r="M14" s="1829"/>
    </row>
    <row r="15" spans="1:14" ht="31.5" customHeight="1">
      <c r="A15" s="83" t="s">
        <v>474</v>
      </c>
      <c r="B15" s="1829" t="s">
        <v>2025</v>
      </c>
      <c r="C15" s="1829"/>
      <c r="D15" s="1829"/>
      <c r="E15" s="1829"/>
      <c r="F15" s="1829"/>
      <c r="G15" s="1829"/>
      <c r="H15" s="1829"/>
      <c r="I15" s="1829"/>
      <c r="J15" s="1829"/>
      <c r="K15" s="1829"/>
      <c r="L15" s="1829"/>
      <c r="M15" s="1829"/>
    </row>
    <row r="16" spans="1:14" ht="98.25" customHeight="1">
      <c r="A16" s="83" t="s">
        <v>475</v>
      </c>
      <c r="B16" s="1829" t="s">
        <v>476</v>
      </c>
      <c r="C16" s="1829"/>
      <c r="D16" s="1829"/>
      <c r="E16" s="1829"/>
      <c r="F16" s="1829"/>
      <c r="G16" s="1829"/>
      <c r="H16" s="1829"/>
      <c r="I16" s="1829"/>
      <c r="J16" s="1829"/>
      <c r="K16" s="1829"/>
      <c r="L16" s="1829"/>
      <c r="M16" s="1829"/>
    </row>
    <row r="17" spans="1:21" ht="31.5" customHeight="1">
      <c r="A17" s="83" t="s">
        <v>477</v>
      </c>
      <c r="B17" s="1829" t="s">
        <v>478</v>
      </c>
      <c r="C17" s="1829"/>
      <c r="D17" s="1829"/>
      <c r="E17" s="1829"/>
      <c r="F17" s="1829"/>
      <c r="G17" s="1829"/>
      <c r="H17" s="1829"/>
      <c r="I17" s="1829"/>
      <c r="J17" s="1829"/>
      <c r="K17" s="1829"/>
      <c r="L17" s="1829"/>
      <c r="M17" s="1829"/>
    </row>
    <row r="18" spans="1:21" ht="81.75" customHeight="1">
      <c r="A18" s="83" t="s">
        <v>479</v>
      </c>
      <c r="B18" s="1829" t="s">
        <v>480</v>
      </c>
      <c r="C18" s="1829"/>
      <c r="D18" s="1829"/>
      <c r="E18" s="1829"/>
      <c r="F18" s="1829"/>
      <c r="G18" s="1829"/>
      <c r="H18" s="1829"/>
      <c r="I18" s="1829"/>
      <c r="J18" s="1829"/>
      <c r="K18" s="1829"/>
      <c r="L18" s="1829"/>
      <c r="M18" s="1829"/>
    </row>
    <row r="19" spans="1:21" ht="31.5" customHeight="1">
      <c r="A19" s="83" t="s">
        <v>481</v>
      </c>
      <c r="B19" s="1829" t="s">
        <v>482</v>
      </c>
      <c r="C19" s="1829"/>
      <c r="D19" s="1829"/>
      <c r="E19" s="1829"/>
      <c r="F19" s="1829"/>
      <c r="G19" s="1829"/>
      <c r="H19" s="1829"/>
      <c r="I19" s="1829"/>
      <c r="J19" s="1829"/>
      <c r="K19" s="1829"/>
      <c r="L19" s="1829"/>
      <c r="M19" s="1829"/>
    </row>
    <row r="20" spans="1:21" ht="69" customHeight="1">
      <c r="A20" s="83" t="s">
        <v>483</v>
      </c>
      <c r="B20" s="1829" t="s">
        <v>2026</v>
      </c>
      <c r="C20" s="1829"/>
      <c r="D20" s="1829"/>
      <c r="E20" s="1829"/>
      <c r="F20" s="1829"/>
      <c r="G20" s="1829"/>
      <c r="H20" s="1829"/>
      <c r="I20" s="1829"/>
      <c r="J20" s="1829"/>
      <c r="K20" s="1829"/>
      <c r="L20" s="1829"/>
      <c r="M20" s="1829"/>
    </row>
    <row r="21" spans="1:21" ht="31.5" customHeight="1">
      <c r="A21" s="83" t="s">
        <v>484</v>
      </c>
      <c r="B21" s="1829" t="s">
        <v>485</v>
      </c>
      <c r="C21" s="1829"/>
      <c r="D21" s="1829"/>
      <c r="E21" s="1829"/>
      <c r="F21" s="1829"/>
      <c r="G21" s="1829"/>
      <c r="H21" s="1829"/>
      <c r="I21" s="1829"/>
      <c r="J21" s="1829"/>
      <c r="K21" s="1829"/>
      <c r="L21" s="1829"/>
      <c r="M21" s="1829"/>
    </row>
    <row r="22" spans="1:21" ht="17.399999999999999" customHeight="1">
      <c r="A22" s="83" t="s">
        <v>486</v>
      </c>
      <c r="B22" s="1829" t="s">
        <v>487</v>
      </c>
      <c r="C22" s="1829"/>
      <c r="D22" s="1829"/>
      <c r="E22" s="1829"/>
      <c r="F22" s="1829"/>
      <c r="G22" s="1829"/>
      <c r="H22" s="1829"/>
      <c r="I22" s="1829"/>
      <c r="J22" s="1829"/>
      <c r="K22" s="1829"/>
      <c r="L22" s="1829"/>
      <c r="M22" s="1829"/>
    </row>
    <row r="23" spans="1:21" ht="31.5" customHeight="1">
      <c r="A23" s="83" t="s">
        <v>488</v>
      </c>
      <c r="B23" s="1829" t="s">
        <v>489</v>
      </c>
      <c r="C23" s="1829"/>
      <c r="D23" s="1829"/>
      <c r="E23" s="1829"/>
      <c r="F23" s="1829"/>
      <c r="G23" s="1829"/>
      <c r="H23" s="1829"/>
      <c r="I23" s="1829"/>
      <c r="J23" s="1829"/>
      <c r="K23" s="1829"/>
      <c r="L23" s="1829"/>
      <c r="M23" s="1829"/>
    </row>
    <row r="24" spans="1:21" ht="31.5" customHeight="1">
      <c r="A24" s="83" t="s">
        <v>490</v>
      </c>
      <c r="B24" s="1829" t="s">
        <v>491</v>
      </c>
      <c r="C24" s="1829"/>
      <c r="D24" s="1829"/>
      <c r="E24" s="1829"/>
      <c r="F24" s="1829"/>
      <c r="G24" s="1829"/>
      <c r="H24" s="1829"/>
      <c r="I24" s="1829"/>
      <c r="J24" s="1829"/>
      <c r="K24" s="1829"/>
      <c r="L24" s="1829"/>
      <c r="M24" s="1829"/>
    </row>
    <row r="25" spans="1:21" ht="85.5" customHeight="1">
      <c r="A25" s="83" t="s">
        <v>2021</v>
      </c>
      <c r="B25" s="1712" t="s">
        <v>2090</v>
      </c>
      <c r="C25" s="1712"/>
      <c r="D25" s="1712"/>
      <c r="E25" s="1712"/>
      <c r="F25" s="1712"/>
      <c r="G25" s="1712"/>
      <c r="H25" s="1712"/>
      <c r="I25" s="1712"/>
      <c r="J25" s="1712"/>
      <c r="K25" s="1712"/>
      <c r="L25" s="1712"/>
      <c r="M25" s="1712"/>
    </row>
    <row r="26" spans="1:21" ht="10.35" customHeight="1">
      <c r="A26" s="8"/>
      <c r="B26" s="156"/>
      <c r="C26" s="156"/>
      <c r="D26" s="156"/>
      <c r="E26" s="156"/>
      <c r="F26" s="171"/>
      <c r="G26" s="171"/>
      <c r="H26" s="171"/>
      <c r="I26" s="171"/>
      <c r="J26" s="171"/>
      <c r="K26" s="156"/>
      <c r="L26" s="156"/>
      <c r="M26" s="156"/>
    </row>
    <row r="27" spans="1:21" ht="31.5" customHeight="1">
      <c r="A27" s="8"/>
      <c r="B27" s="1823" t="s">
        <v>492</v>
      </c>
      <c r="C27" s="1823"/>
      <c r="D27" s="1823"/>
      <c r="E27" s="1823"/>
      <c r="F27" s="1823"/>
      <c r="G27" s="1823"/>
      <c r="H27" s="1823"/>
      <c r="I27" s="1823"/>
      <c r="J27" s="1823"/>
      <c r="K27" s="1823"/>
      <c r="L27" s="1823"/>
      <c r="M27" s="1823"/>
    </row>
    <row r="28" spans="1:21" ht="10.35" customHeight="1">
      <c r="A28" s="8"/>
      <c r="B28" s="6"/>
      <c r="C28" s="6"/>
      <c r="D28" s="6"/>
      <c r="E28" s="6"/>
      <c r="F28" s="176"/>
      <c r="G28" s="176"/>
      <c r="H28" s="176"/>
      <c r="I28" s="176"/>
      <c r="J28" s="176"/>
      <c r="K28" s="6"/>
      <c r="L28" s="6"/>
      <c r="M28" s="6"/>
    </row>
    <row r="29" spans="1:21" ht="17.399999999999999" customHeight="1">
      <c r="A29" s="89" t="s">
        <v>493</v>
      </c>
      <c r="B29" s="89"/>
      <c r="C29" s="89"/>
      <c r="D29" s="89"/>
      <c r="E29" s="89"/>
      <c r="F29" s="89"/>
      <c r="G29" s="89"/>
      <c r="H29" s="89"/>
      <c r="I29" s="89"/>
      <c r="J29" s="89"/>
      <c r="K29" s="2221"/>
      <c r="L29" s="2221"/>
      <c r="M29" s="2221"/>
      <c r="N29" s="1917" t="str">
        <f>IF(Cert_Signature="","",IF(Cert_Signature=Data1!F142,"This Applicant Certification and Acknowledgement Form has been signed by the Authorized Principal Representative as required.","This Applicant Certification and Acknowledgement Form has not been signed by the Authorized Principal Representative."))</f>
        <v/>
      </c>
      <c r="O29" s="1917"/>
      <c r="P29" s="1917"/>
      <c r="Q29" s="1917"/>
      <c r="R29" s="1917"/>
      <c r="S29" s="1917"/>
      <c r="T29" s="1917"/>
      <c r="U29" s="1917"/>
    </row>
    <row r="30" spans="1:21" ht="10.35" customHeight="1">
      <c r="A30" s="90"/>
      <c r="B30" s="89"/>
      <c r="C30" s="89"/>
      <c r="D30" s="89"/>
      <c r="E30" s="89"/>
      <c r="F30" s="89"/>
      <c r="G30" s="89"/>
      <c r="H30" s="89"/>
      <c r="I30" s="89"/>
      <c r="J30" s="89"/>
      <c r="K30" s="89"/>
      <c r="L30" s="89"/>
      <c r="M30" s="89"/>
      <c r="N30" s="1917"/>
      <c r="O30" s="1917"/>
      <c r="P30" s="1917"/>
      <c r="Q30" s="1917"/>
      <c r="R30" s="1917"/>
      <c r="S30" s="1917"/>
      <c r="T30" s="1917"/>
      <c r="U30" s="1917"/>
    </row>
    <row r="31" spans="1:21" ht="17.399999999999999" customHeight="1">
      <c r="A31" s="90"/>
      <c r="B31" s="642" t="s">
        <v>494</v>
      </c>
      <c r="C31" s="2221"/>
      <c r="D31" s="2221"/>
      <c r="E31" s="2221"/>
      <c r="F31" s="2221"/>
      <c r="G31" s="2221"/>
      <c r="H31" s="2221"/>
      <c r="I31" s="2221"/>
      <c r="J31" s="2221"/>
      <c r="K31" s="2221"/>
      <c r="L31" s="2221"/>
      <c r="M31" s="2221"/>
      <c r="N31" s="1917"/>
      <c r="O31" s="1917"/>
      <c r="P31" s="1917"/>
      <c r="Q31" s="1917"/>
      <c r="R31" s="1917"/>
      <c r="S31" s="1917"/>
      <c r="T31" s="1917"/>
      <c r="U31" s="1917"/>
    </row>
    <row r="32" spans="1:21" ht="10.35" customHeight="1">
      <c r="A32" s="90"/>
      <c r="B32" s="89"/>
      <c r="C32" s="89"/>
      <c r="D32" s="89"/>
      <c r="E32" s="89"/>
      <c r="F32" s="89"/>
      <c r="G32" s="89"/>
      <c r="H32" s="89"/>
      <c r="I32" s="89"/>
      <c r="J32" s="89"/>
      <c r="K32" s="89"/>
      <c r="L32" s="89"/>
      <c r="M32" s="89"/>
    </row>
    <row r="33" spans="1:13" ht="31.5" customHeight="1">
      <c r="A33" s="2226" t="s">
        <v>495</v>
      </c>
      <c r="B33" s="2226"/>
      <c r="C33" s="2226"/>
      <c r="D33" s="2226"/>
      <c r="E33" s="2226"/>
      <c r="F33" s="2226"/>
      <c r="G33" s="2226"/>
      <c r="H33" s="2226"/>
      <c r="I33" s="2226"/>
      <c r="J33" s="2226"/>
      <c r="K33" s="2226"/>
      <c r="L33" s="2226"/>
      <c r="M33" s="2226"/>
    </row>
    <row r="34" spans="1:13" ht="10.35" customHeight="1"/>
  </sheetData>
  <sheetProtection algorithmName="SHA-512" hashValue="3yjl240rflz4VA4ykfqqvrF58QIPCcw4Fg0O78CH6DVyB+9RyrhsYczSGXWR7EOrUaNGb89lC7pAFNUsA1LZqA==" saltValue="NL8uPcFRlVkSkGXT+NqWxA==" spinCount="100000" sheet="1" formatRows="0" selectLockedCells="1"/>
  <mergeCells count="28">
    <mergeCell ref="A33:M33"/>
    <mergeCell ref="N29:U31"/>
    <mergeCell ref="B16:M16"/>
    <mergeCell ref="B17:M17"/>
    <mergeCell ref="B18:M18"/>
    <mergeCell ref="B27:M27"/>
    <mergeCell ref="B20:M20"/>
    <mergeCell ref="B21:M21"/>
    <mergeCell ref="B22:M22"/>
    <mergeCell ref="B23:M23"/>
    <mergeCell ref="B24:M24"/>
    <mergeCell ref="C31:M31"/>
    <mergeCell ref="B19:M19"/>
    <mergeCell ref="B25:M25"/>
    <mergeCell ref="B8:M8"/>
    <mergeCell ref="A1:M1"/>
    <mergeCell ref="A3:M3"/>
    <mergeCell ref="B5:M5"/>
    <mergeCell ref="B6:M6"/>
    <mergeCell ref="B7:M7"/>
    <mergeCell ref="B14:M14"/>
    <mergeCell ref="B15:M15"/>
    <mergeCell ref="K29:M29"/>
    <mergeCell ref="B9:M9"/>
    <mergeCell ref="B10:M10"/>
    <mergeCell ref="B11:M11"/>
    <mergeCell ref="B12:M12"/>
    <mergeCell ref="B13:M13"/>
  </mergeCells>
  <conditionalFormatting sqref="K29:M29 C31:M31">
    <cfRule type="cellIs" dxfId="1" priority="3" operator="notEqual">
      <formula>""</formula>
    </cfRule>
  </conditionalFormatting>
  <conditionalFormatting sqref="N29:U31">
    <cfRule type="cellIs" dxfId="0" priority="2" operator="equal">
      <formula>"This Applicant Certification and Acknowledgement Form has not been signed by the Authorized Principal Representative."</formula>
    </cfRule>
  </conditionalFormatting>
  <pageMargins left="0.7" right="0.7" top="0.75" bottom="0.75" header="0.3" footer="0.3"/>
  <pageSetup scale="80" fitToHeight="0" orientation="portrait" cellComments="atEnd" r:id="rId1"/>
  <headerFooter>
    <oddHeader>&amp;C&amp;B&amp;14&amp;K7030A0Exhibit A to RFA 2022-109 SAIL and HOME-ARP Financing for Smaller Developments for Persons with Special Needs</oddHeader>
    <oddFooter>&amp;LRFA 2022-109&amp;R&amp;K000000'&amp;A' worksheet tab: Page &amp;P of &amp;N</oddFooter>
  </headerFooter>
  <ignoredErrors>
    <ignoredError sqref="A23:A24 A5:A2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4" ma:contentTypeDescription="Create a new document." ma:contentTypeScope="" ma:versionID="b2524439593dbab3e4900e5678e87991">
  <xsd:schema xmlns:xsd="http://www.w3.org/2001/XMLSchema" xmlns:xs="http://www.w3.org/2001/XMLSchema" xmlns:p="http://schemas.microsoft.com/office/2006/metadata/properties" xmlns:ns2="a84349eb-4374-47bc-83f0-36d288636098" xmlns:ns3="68dfe011-c19e-4dbd-a5cd-00e4d25ab099" targetNamespace="http://schemas.microsoft.com/office/2006/metadata/properties" ma:root="true" ma:fieldsID="f2896de15a31788c0acebbd5733813d4" ns2:_="" ns3:_="">
    <xsd:import namespace="a84349eb-4374-47bc-83f0-36d288636098"/>
    <xsd:import namespace="68dfe011-c19e-4dbd-a5cd-00e4d25ab09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86867F-C397-4750-AAE6-CAA6128DB2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7C5B38-4913-4713-9A79-230425551ECC}">
  <ds:schemaRefs>
    <ds:schemaRef ds:uri="68dfe011-c19e-4dbd-a5cd-00e4d25ab099"/>
    <ds:schemaRef ds:uri="http://schemas.openxmlformats.org/package/2006/metadata/core-properties"/>
    <ds:schemaRef ds:uri="http://purl.org/dc/dcmitype/"/>
    <ds:schemaRef ds:uri="http://schemas.microsoft.com/office/2006/documentManagement/types"/>
    <ds:schemaRef ds:uri="http://www.w3.org/XML/1998/namespace"/>
    <ds:schemaRef ds:uri="a84349eb-4374-47bc-83f0-36d288636098"/>
    <ds:schemaRef ds:uri="http://purl.org/dc/elements/1.1/"/>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1062</vt:i4>
      </vt:variant>
    </vt:vector>
  </HeadingPairs>
  <TitlesOfParts>
    <vt:vector size="1075" baseType="lpstr">
      <vt:lpstr>General Information</vt:lpstr>
      <vt:lpstr>Proposed Development Info</vt:lpstr>
      <vt:lpstr>Development Location</vt:lpstr>
      <vt:lpstr>Units, Set-Asides, Bldgs</vt:lpstr>
      <vt:lpstr>Readiness to Proceed</vt:lpstr>
      <vt:lpstr>Construction Features</vt:lpstr>
      <vt:lpstr>Services</vt:lpstr>
      <vt:lpstr>Funding</vt:lpstr>
      <vt:lpstr>Pro Forma</vt:lpstr>
      <vt:lpstr>HOME URA</vt:lpstr>
      <vt:lpstr>B. Other Information</vt:lpstr>
      <vt:lpstr>Narrative Scoring</vt:lpstr>
      <vt:lpstr>Certification</vt:lpstr>
      <vt:lpstr>ACC_units</vt:lpstr>
      <vt:lpstr>Acq_elig</vt:lpstr>
      <vt:lpstr>Acq_inelig</vt:lpstr>
      <vt:lpstr>Acq_total</vt:lpstr>
      <vt:lpstr>Acquisition_eligible</vt:lpstr>
      <vt:lpstr>Acquisition_ineligible</vt:lpstr>
      <vt:lpstr>Acquisition_total</vt:lpstr>
      <vt:lpstr>Actual_Accessory_eligible</vt:lpstr>
      <vt:lpstr>Actual_Accessory_ineligible</vt:lpstr>
      <vt:lpstr>Actual_Accessory_total</vt:lpstr>
      <vt:lpstr>Actual_Comm_Retail_eligible</vt:lpstr>
      <vt:lpstr>Actual_Comm_Retail_ineligible</vt:lpstr>
      <vt:lpstr>Actual_Comm_Retail_total</vt:lpstr>
      <vt:lpstr>Actual_commonareas_eligible</vt:lpstr>
      <vt:lpstr>Actual_commonareas_ineligible</vt:lpstr>
      <vt:lpstr>Actual_commonareas_total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Actual_existingrental_eligible</vt:lpstr>
      <vt:lpstr>Actual_existingrental_ineligible</vt:lpstr>
      <vt:lpstr>Actual_existingrental_total</vt:lpstr>
      <vt:lpstr>Actual_GCfee_eligible</vt:lpstr>
      <vt:lpstr>Actual_GCfee_ineligible</vt:lpstr>
      <vt:lpstr>Actual_GCfee_total</vt:lpstr>
      <vt:lpstr>Actual_NewUnits_eligible</vt:lpstr>
      <vt:lpstr>Actual_NewUnits_ineligible</vt:lpstr>
      <vt:lpstr>Actual_NewUnits_total</vt:lpstr>
      <vt:lpstr>Actual_Offsite_eligible</vt:lpstr>
      <vt:lpstr>Actual_Offsite_ineligible</vt:lpstr>
      <vt:lpstr>Actual_Offsite_total</vt:lpstr>
      <vt:lpstr>Actual_Other_eligible</vt:lpstr>
      <vt:lpstr>Actual_Other_ineligible</vt:lpstr>
      <vt:lpstr>Actual_Other_total</vt:lpstr>
      <vt:lpstr>Actual_recreational_eligible</vt:lpstr>
      <vt:lpstr>Actual_recreational_ineligible</vt:lpstr>
      <vt:lpstr>Actual_recreational_total</vt:lpstr>
      <vt:lpstr>Actual_sitework_eligible</vt:lpstr>
      <vt:lpstr>Actual_sitework_ineligible</vt:lpstr>
      <vt:lpstr>Actual_sitework_total</vt:lpstr>
      <vt:lpstr>Actual_TotalConstructioncost_eligible</vt:lpstr>
      <vt:lpstr>Actual_TotalConstructioncost_ineligible</vt:lpstr>
      <vt:lpstr>Actual_TotalConstructioncost_total</vt:lpstr>
      <vt:lpstr>Addenda_Comments</vt:lpstr>
      <vt:lpstr>Addenda_Comments_2</vt:lpstr>
      <vt:lpstr>AIT_HC_SA_Percent</vt:lpstr>
      <vt:lpstr>App_number_first_phase</vt:lpstr>
      <vt:lpstr>Application_Fee_Method</vt:lpstr>
      <vt:lpstr>ARP_Request_Amount</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avg_AMI_HC_Units_in_avg_inc_chart</vt:lpstr>
      <vt:lpstr>Calc_BusRapid</vt:lpstr>
      <vt:lpstr>Calc_BusStop1</vt:lpstr>
      <vt:lpstr>Calc_BusStop2</vt:lpstr>
      <vt:lpstr>Calc_BusStop3</vt:lpstr>
      <vt:lpstr>Calc_BusTransfer</vt:lpstr>
      <vt:lpstr>Calc_Rail</vt:lpstr>
      <vt:lpstr>Cert_Signature</vt:lpstr>
      <vt:lpstr>Cert_Title_of_Signature</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ConstrFeaturesMultiplier</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County_Size</vt:lpstr>
      <vt:lpstr>DDA_nonmetro</vt:lpstr>
      <vt:lpstr>DDA_nonmetro_name</vt:lpstr>
      <vt:lpstr>Demographic</vt:lpstr>
      <vt:lpstr>Description_acquisition_other</vt:lpstr>
      <vt:lpstr>Description_Actual_offsite</vt:lpstr>
      <vt:lpstr>Description_Actual_other</vt:lpstr>
      <vt:lpstr>Description_financial_other</vt:lpstr>
      <vt:lpstr>Description_General_impact</vt:lpstr>
      <vt:lpstr>Description_General_other</vt:lpstr>
      <vt:lpstr>Developer_fee_acq_eligible</vt:lpstr>
      <vt:lpstr>Developer_fee_acq_ineligible</vt:lpstr>
      <vt:lpstr>Developer_fee_acq_total</vt:lpstr>
      <vt:lpstr>Developer_fee_demo</vt:lpstr>
      <vt:lpstr>Developer_fee_eligible</vt:lpstr>
      <vt:lpstr>Developer_fee_ineligible</vt:lpstr>
      <vt:lpstr>Developer_fee_non_acq_eligible</vt:lpstr>
      <vt:lpstr>Developer_fee_non_acq_ineligible</vt:lpstr>
      <vt:lpstr>Developer_fee_non_acq_total</vt:lpstr>
      <vt:lpstr>Developer_fee_Percentage_dropdown</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DevExp_first_Dev_location</vt:lpstr>
      <vt:lpstr>DevExp_first_Dev_name</vt:lpstr>
      <vt:lpstr>DevExp_first_Dev_program</vt:lpstr>
      <vt:lpstr>DevExp_first_Dev_units</vt:lpstr>
      <vt:lpstr>DevExp_first_Dev_year</vt:lpstr>
      <vt:lpstr>DevExp_natural_person</vt:lpstr>
      <vt:lpstr>DevExp_natural_person_entity</vt:lpstr>
      <vt:lpstr>DevExp_second_Dev_location</vt:lpstr>
      <vt:lpstr>DevExp_second_Dev_name</vt:lpstr>
      <vt:lpstr>DevExp_second_Dev_program</vt:lpstr>
      <vt:lpstr>DevExp_second_Dev_units</vt:lpstr>
      <vt:lpstr>DevExp_second_Dev_year</vt:lpstr>
      <vt:lpstr>DevExp_third_Dev_location</vt:lpstr>
      <vt:lpstr>DevExp_third_Dev_name</vt:lpstr>
      <vt:lpstr>DevExp_third_Dev_program</vt:lpstr>
      <vt:lpstr>DevExp_third_Dev_units</vt:lpstr>
      <vt:lpstr>DevExp_third_Dev_year</vt:lpstr>
      <vt:lpstr>DevType</vt:lpstr>
      <vt:lpstr>DLP_latitude</vt:lpstr>
      <vt:lpstr>DLP_longitude</vt:lpstr>
      <vt:lpstr>DonationOfLand</vt:lpstr>
      <vt:lpstr>DS_Add_On_1</vt:lpstr>
      <vt:lpstr>DS_Add_On_1_Y</vt:lpstr>
      <vt:lpstr>DS_Add_On_2</vt:lpstr>
      <vt:lpstr>DS_Add_On_2_Y</vt:lpstr>
      <vt:lpstr>DS_AMI_List</vt:lpstr>
      <vt:lpstr>DS_AppDeadline</vt:lpstr>
      <vt:lpstr>DS_ARP_PD</vt:lpstr>
      <vt:lpstr>DS_ARP_PU</vt:lpstr>
      <vt:lpstr>DS_Authorized_Contact_Full_Name</vt:lpstr>
      <vt:lpstr>DS_Bond_ADDON</vt:lpstr>
      <vt:lpstr>DS_Comment_Max_Gap_SA</vt:lpstr>
      <vt:lpstr>DS_Comment_Min_ElderlyALF_SA_a</vt:lpstr>
      <vt:lpstr>DS_Comment_Min_ElderlyALF_SA_b</vt:lpstr>
      <vt:lpstr>DS_Comment_Min_ELI_SA_a</vt:lpstr>
      <vt:lpstr>DS_Comment_Min_ELI_SA_b</vt:lpstr>
      <vt:lpstr>DS_Comment_Min_Gap_ELI_SA</vt:lpstr>
      <vt:lpstr>DS_Comment_Min_Gap_LowerAMI_SA</vt:lpstr>
      <vt:lpstr>DS_Comment_Min_Gap_SA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DS_County_Sizes</vt:lpstr>
      <vt:lpstr>DS_CountyData</vt:lpstr>
      <vt:lpstr>DS_CountyGAOs</vt:lpstr>
      <vt:lpstr>DS_CountyQCTs</vt:lpstr>
      <vt:lpstr>DS_Demo_DataNames</vt:lpstr>
      <vt:lpstr>DS_Demo_DDMenu</vt:lpstr>
      <vt:lpstr>DS_Demo_Multiplier</vt:lpstr>
      <vt:lpstr>DS_Demo_Sequence</vt:lpstr>
      <vt:lpstr>DS_DevCat_DataNames</vt:lpstr>
      <vt:lpstr>DS_DevCat_DDMenu</vt:lpstr>
      <vt:lpstr>DS_DevCat_Sequence</vt:lpstr>
      <vt:lpstr>DS_DevExpDate</vt:lpstr>
      <vt:lpstr>DS_DevExpDateMinDevs</vt:lpstr>
      <vt:lpstr>DS_DevExpMinDevs_List</vt:lpstr>
      <vt:lpstr>DS_DevExpMinDevs_Units</vt:lpstr>
      <vt:lpstr>DS_DevExpMinUnitsNumber</vt:lpstr>
      <vt:lpstr>DS_DevExpMinUnitsPercent</vt:lpstr>
      <vt:lpstr>DS_DevExpMinUnitsSelect</vt:lpstr>
      <vt:lpstr>DS_DevExpPrgm</vt:lpstr>
      <vt:lpstr>DS_DevExpPrgmMinDevs</vt:lpstr>
      <vt:lpstr>DS_DevExpProgs_DataNames</vt:lpstr>
      <vt:lpstr>DS_DevExpProgs_DDMenu</vt:lpstr>
      <vt:lpstr>DS_DevExpProgs_Sequence</vt:lpstr>
      <vt:lpstr>DS_DevType_DataNames</vt:lpstr>
      <vt:lpstr>DS_DevType_DDMenu</vt:lpstr>
      <vt:lpstr>DS_DevType_Sequence</vt:lpstr>
      <vt:lpstr>DS_DS_Elig_Submission</vt:lpstr>
      <vt:lpstr>DS_Elderly_ALF_Multiplier</vt:lpstr>
      <vt:lpstr>DS_ELI_Data</vt:lpstr>
      <vt:lpstr>DS_ELI_PD</vt:lpstr>
      <vt:lpstr>DS_Elig_Address</vt:lpstr>
      <vt:lpstr>DS_Elig_App</vt:lpstr>
      <vt:lpstr>DS_Elig_AppLegal</vt:lpstr>
      <vt:lpstr>DS_Elig_Arrear</vt:lpstr>
      <vt:lpstr>DS_Elig_Bldgs</vt:lpstr>
      <vt:lpstr>DS_Elig_Cert</vt:lpstr>
      <vt:lpstr>DS_Elig_County</vt:lpstr>
      <vt:lpstr>DS_Elig_Demo</vt:lpstr>
      <vt:lpstr>DS_Elig_Dev</vt:lpstr>
      <vt:lpstr>DS_Elig_DevCat</vt:lpstr>
      <vt:lpstr>DS_Elig_DevCatMet</vt:lpstr>
      <vt:lpstr>DS_Elig_DevExp</vt:lpstr>
      <vt:lpstr>DS_Elig_DevLegal</vt:lpstr>
      <vt:lpstr>DS_Elig_DevType</vt:lpstr>
      <vt:lpstr>DS_Elig_Gap_SAChart</vt:lpstr>
      <vt:lpstr>DS_Elig_Green</vt:lpstr>
      <vt:lpstr>DS_Elig_HC_SACharts</vt:lpstr>
      <vt:lpstr>DS_Elig_LatLong</vt:lpstr>
      <vt:lpstr>DS_Elig_Loan_SAChart</vt:lpstr>
      <vt:lpstr>DS_Elig_LocPoint</vt:lpstr>
      <vt:lpstr>DS_Elig_MandDist</vt:lpstr>
      <vt:lpstr>DS_Elig_Mgmt</vt:lpstr>
      <vt:lpstr>DS_Elig_MgmtContact</vt:lpstr>
      <vt:lpstr>DS_Elig_MgmtExp</vt:lpstr>
      <vt:lpstr>DS_Elig_MinSA</vt:lpstr>
      <vt:lpstr>DS_Elig_NoDeobs</vt:lpstr>
      <vt:lpstr>DS_Elig_NoInvite</vt:lpstr>
      <vt:lpstr>DS_Elig_NotClosed</vt:lpstr>
      <vt:lpstr>DS_Elig_Occup</vt:lpstr>
      <vt:lpstr>DS_Elig_PrincDisclosure</vt:lpstr>
      <vt:lpstr>DS_Elig_PrincRep</vt:lpstr>
      <vt:lpstr>DS_Elig_PropDevName</vt:lpstr>
      <vt:lpstr>DS_Elig_Prox</vt:lpstr>
      <vt:lpstr>DS_Elig_ResProg</vt:lpstr>
      <vt:lpstr>DS_Elig_Scattered</vt:lpstr>
      <vt:lpstr>DS_Elig_Sewer</vt:lpstr>
      <vt:lpstr>DS_Elig_Site</vt:lpstr>
      <vt:lpstr>DS_Elig_Transit</vt:lpstr>
      <vt:lpstr>DS_Elig_UnitCat</vt:lpstr>
      <vt:lpstr>DS_Elig_UnitMix</vt:lpstr>
      <vt:lpstr>DS_Elig_Units</vt:lpstr>
      <vt:lpstr>DS_Elig_UnitTypes</vt:lpstr>
      <vt:lpstr>DS_Elig_Water</vt:lpstr>
      <vt:lpstr>DS_Elig_Zoning</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DS_FLJobs_SAIL</vt:lpstr>
      <vt:lpstr>DS_FLJobs_Score</vt:lpstr>
      <vt:lpstr>DS_FLJobs_SFNC</vt:lpstr>
      <vt:lpstr>DS_FLJobs_Workforce</vt:lpstr>
      <vt:lpstr>DS_GAO_Counties</vt:lpstr>
      <vt:lpstr>DS_GAOs_effective2.1.21</vt:lpstr>
      <vt:lpstr>DS_Gap_AMI_Max</vt:lpstr>
      <vt:lpstr>DS_Gap_Max_SA_Perc</vt:lpstr>
      <vt:lpstr>DS_Gap_Min_SA_Perc</vt:lpstr>
      <vt:lpstr>DS_Gap_Name</vt:lpstr>
      <vt:lpstr>DS_Gap_SS_Low_AMI_AIT</vt:lpstr>
      <vt:lpstr>DS_Gap_SS_Low_AMI_Non</vt:lpstr>
      <vt:lpstr>DS_Gap_SS_Low_SA_AIT</vt:lpstr>
      <vt:lpstr>DS_Gap_SS_Low_SA_Non</vt:lpstr>
      <vt:lpstr>DS_Grant_PD</vt:lpstr>
      <vt:lpstr>DS_Green_DataNames</vt:lpstr>
      <vt:lpstr>DS_Green_DDMenu</vt:lpstr>
      <vt:lpstr>DS_Green_Sequence</vt:lpstr>
      <vt:lpstr>DS_HC_Min_SA_Perc</vt:lpstr>
      <vt:lpstr>DS_HOME_PD</vt:lpstr>
      <vt:lpstr>DS_HOME_PU_0Bd</vt:lpstr>
      <vt:lpstr>DS_HOME_PU_1Bd</vt:lpstr>
      <vt:lpstr>DS_HOME_PU_2Bd</vt:lpstr>
      <vt:lpstr>DS_HOME_PU_3Bd</vt:lpstr>
      <vt:lpstr>DS_HOME_PU_4Bd</vt:lpstr>
      <vt:lpstr>DS_KeysLocation_DDMenu</vt:lpstr>
      <vt:lpstr>DS_Lev_MP_Broward</vt:lpstr>
      <vt:lpstr>DS_LEV_MP_ESS</vt:lpstr>
      <vt:lpstr>DS_Lev_MP_GA</vt:lpstr>
      <vt:lpstr>DS_Lev_MP_HC</vt:lpstr>
      <vt:lpstr>DS_Lev_MP_HR</vt:lpstr>
      <vt:lpstr>DS_Lev_MP_Loan</vt:lpstr>
      <vt:lpstr>DS_Lev_MP_MR</vt:lpstr>
      <vt:lpstr>DS_Lev_MP_Oth</vt:lpstr>
      <vt:lpstr>DS_Lev_MP_PHA</vt:lpstr>
      <vt:lpstr>DS_Loan_Min_SA_Perc</vt:lpstr>
      <vt:lpstr>DS_Loan_Name</vt:lpstr>
      <vt:lpstr>DS_Managing_DDMenu</vt:lpstr>
      <vt:lpstr>DS_MAX_NHTF</vt:lpstr>
      <vt:lpstr>DS_Max_Units</vt:lpstr>
      <vt:lpstr>DS_Max_Units_General_Large</vt:lpstr>
      <vt:lpstr>DS_Max_Units_General_Medium</vt:lpstr>
      <vt:lpstr>DS_Max_Units_General_Small</vt:lpstr>
      <vt:lpstr>DS_MaxDevFeeAcq_Percent</vt:lpstr>
      <vt:lpstr>DS_MaxDevFeeNonAcq_Percent</vt:lpstr>
      <vt:lpstr>DS_MaxDevFeeODR_Percent</vt:lpstr>
      <vt:lpstr>DS_MaxGCFee</vt:lpstr>
      <vt:lpstr>DS_MaxHCCNC</vt:lpstr>
      <vt:lpstr>DS_MaxHCCR</vt:lpstr>
      <vt:lpstr>DS_MaxSCC</vt:lpstr>
      <vt:lpstr>DS_MaxUnits_NC_ALF</vt:lpstr>
      <vt:lpstr>DS_MaxUnits_NC_E_BMD</vt:lpstr>
      <vt:lpstr>DS_MaxUnits_NC_E_NonBMD</vt:lpstr>
      <vt:lpstr>DS_MaxUnits_NC_F_MMRB</vt:lpstr>
      <vt:lpstr>DS_MDCounty_DDMenu</vt:lpstr>
      <vt:lpstr>DS_Met_Address</vt:lpstr>
      <vt:lpstr>DS_Met_App</vt:lpstr>
      <vt:lpstr>DS_Met_AppLegal</vt:lpstr>
      <vt:lpstr>DS_Met_Arrear</vt:lpstr>
      <vt:lpstr>DS_Met_Bldgs</vt:lpstr>
      <vt:lpstr>DS_Met_Cert</vt:lpstr>
      <vt:lpstr>DS_Met_County</vt:lpstr>
      <vt:lpstr>DS_Met_Demo</vt:lpstr>
      <vt:lpstr>DS_Met_Dev</vt:lpstr>
      <vt:lpstr>DS_Met_DevCat</vt:lpstr>
      <vt:lpstr>DS_Met_DevCatMet</vt:lpstr>
      <vt:lpstr>DS_Met_DevExp</vt:lpstr>
      <vt:lpstr>DS_Met_DevLegal</vt:lpstr>
      <vt:lpstr>DS_Met_DevType</vt:lpstr>
      <vt:lpstr>DS_Met_Gap_SAChart</vt:lpstr>
      <vt:lpstr>DS_Met_Green</vt:lpstr>
      <vt:lpstr>DS_Met_HC_SACharts</vt:lpstr>
      <vt:lpstr>DS_Met_LatLong</vt:lpstr>
      <vt:lpstr>DS_Met_Loan_SAChart</vt:lpstr>
      <vt:lpstr>DS_Met_LocPoint</vt:lpstr>
      <vt:lpstr>DS_Met_MandDist</vt:lpstr>
      <vt:lpstr>DS_Met_Mgmt</vt:lpstr>
      <vt:lpstr>DS_Met_MgmtContact</vt:lpstr>
      <vt:lpstr>DS_Met_MgmtExp</vt:lpstr>
      <vt:lpstr>DS_Met_MinSA</vt:lpstr>
      <vt:lpstr>DS_Met_NoDeobs</vt:lpstr>
      <vt:lpstr>DS_Met_NoInvite</vt:lpstr>
      <vt:lpstr>DS_Met_NotClosed</vt:lpstr>
      <vt:lpstr>DS_Met_Occup</vt:lpstr>
      <vt:lpstr>DS_Met_PrincDisclosure</vt:lpstr>
      <vt:lpstr>DS_Met_PrincRep</vt:lpstr>
      <vt:lpstr>DS_Met_PropDevName</vt:lpstr>
      <vt:lpstr>DS_Met_Prox</vt:lpstr>
      <vt:lpstr>DS_Met_ResProg</vt:lpstr>
      <vt:lpstr>DS_Met_Scattered</vt:lpstr>
      <vt:lpstr>DS_Met_Sewer</vt:lpstr>
      <vt:lpstr>DS_Met_Site</vt:lpstr>
      <vt:lpstr>DS_Met_Submission</vt:lpstr>
      <vt:lpstr>DS_Met_Transit</vt:lpstr>
      <vt:lpstr>DS_Met_UnitCat</vt:lpstr>
      <vt:lpstr>DS_Met_UnitMix</vt:lpstr>
      <vt:lpstr>DS_Met_Units</vt:lpstr>
      <vt:lpstr>DS_Met_UnitTypes</vt:lpstr>
      <vt:lpstr>DS_Met_Water</vt:lpstr>
      <vt:lpstr>DS_Met_Zoning</vt:lpstr>
      <vt:lpstr>DS_Metro_QCT_Counties</vt:lpstr>
      <vt:lpstr>DS_MetroQCTs_2022</vt:lpstr>
      <vt:lpstr>DS_Min_ELI_AIT_Buy_NSS</vt:lpstr>
      <vt:lpstr>DS_Min_ELI_AIT_Buy_SS</vt:lpstr>
      <vt:lpstr>DS_Min_ELI_AIT_NSS</vt:lpstr>
      <vt:lpstr>DS_Min_ELI_AIT_SS</vt:lpstr>
      <vt:lpstr>DS_Min_ELI_NonAIT_Buy_NSS</vt:lpstr>
      <vt:lpstr>DS_Min_ELI_NonAIT_Buy_SS</vt:lpstr>
      <vt:lpstr>DS_Min_ELI_NonAIT_NSS</vt:lpstr>
      <vt:lpstr>DS_Min_ELI_NonAIT_SS</vt:lpstr>
      <vt:lpstr>DS_Min_Units</vt:lpstr>
      <vt:lpstr>DS_Min_Units_6Large</vt:lpstr>
      <vt:lpstr>DS_Min_Units_General_Large</vt:lpstr>
      <vt:lpstr>DS_Min_Units_General_Medium</vt:lpstr>
      <vt:lpstr>DS_Min_Units_General_Small</vt:lpstr>
      <vt:lpstr>DS_Min_Units_Keys</vt:lpstr>
      <vt:lpstr>DS_Min_Units_No_MiamiDade</vt:lpstr>
      <vt:lpstr>DS_Min_Units_Pinellas</vt:lpstr>
      <vt:lpstr>DS_Min_Units_So_MiamiDade</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DS_N_Keys_Multiplier</vt:lpstr>
      <vt:lpstr>DS_NHTF_PD</vt:lpstr>
      <vt:lpstr>DS_NHTF_PU</vt:lpstr>
      <vt:lpstr>DS_NonMetro_QCT_Counties</vt:lpstr>
      <vt:lpstr>DS_NonMetroDDAs_2022</vt:lpstr>
      <vt:lpstr>DS_NonMetroQCTs_2022</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DS_PHA_FED_ADDON</vt:lpstr>
      <vt:lpstr>DS_Priority_DataNames</vt:lpstr>
      <vt:lpstr>DS_Priority_DDMenu</vt:lpstr>
      <vt:lpstr>DS_Priority_Sequence</vt:lpstr>
      <vt:lpstr>DS_ProAppSource_Name</vt:lpstr>
      <vt:lpstr>DS_ProAppSource_Sequence</vt:lpstr>
      <vt:lpstr>DS_ProAppSources_DDMenu</vt:lpstr>
      <vt:lpstr>DS_Prox_List</vt:lpstr>
      <vt:lpstr>DS_QualFin_DDMenu</vt:lpstr>
      <vt:lpstr>DS_Qualifying_FAFP_Basis</vt:lpstr>
      <vt:lpstr>DS_Qualifying_FAFP_Basis_Code</vt:lpstr>
      <vt:lpstr>DS_Qualifying_FAFP_Percent</vt:lpstr>
      <vt:lpstr>DS_RA_Level</vt:lpstr>
      <vt:lpstr>DS_RA_Source_DataNames</vt:lpstr>
      <vt:lpstr>DS_RA_Source_DDMenu</vt:lpstr>
      <vt:lpstr>DS_RA_Source_Sequence</vt:lpstr>
      <vt:lpstr>DS_Request_Maximum</vt:lpstr>
      <vt:lpstr>DS_Request_Minimum</vt:lpstr>
      <vt:lpstr>DS_S_Keys_Multiplier</vt:lpstr>
      <vt:lpstr>DS_SAIL_PD_Demo</vt:lpstr>
      <vt:lpstr>DS_SAIL_PD_Large</vt:lpstr>
      <vt:lpstr>DS_SAIL_PD_Min_MD</vt:lpstr>
      <vt:lpstr>DS_SAIL_PD_Pres</vt:lpstr>
      <vt:lpstr>DS_SAIL_PD_Sm_Med</vt:lpstr>
      <vt:lpstr>DS_SAIL_Percent_TDC_1</vt:lpstr>
      <vt:lpstr>DS_SAIL_Percent_TDC_2</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DS_States_DataNames</vt:lpstr>
      <vt:lpstr>DS_States_DDMenu</vt:lpstr>
      <vt:lpstr>DS_States_Sequence</vt:lpstr>
      <vt:lpstr>DS_TabHeader</vt:lpstr>
      <vt:lpstr>DS_TabLeftFooter</vt:lpstr>
      <vt:lpstr>DS_UnitTypeMatch</vt:lpstr>
      <vt:lpstr>DS_W_SAIL_PD</vt:lpstr>
      <vt:lpstr>DS_W_SAIL_PD_FLKeys</vt:lpstr>
      <vt:lpstr>DS_W_SAIL_PU</vt:lpstr>
      <vt:lpstr>DS_W_SAIL_PU_FLKeys_80Plus</vt:lpstr>
      <vt:lpstr>DS_W_SAIL_PU_FLKeys_No80Plus</vt:lpstr>
      <vt:lpstr>DS_ZCTAs_2022</vt:lpstr>
      <vt:lpstr>eighty_AMI_Avg_Income_Units</vt:lpstr>
      <vt:lpstr>ELI_Request_Amount</vt:lpstr>
      <vt:lpstr>Elig_Bonds</vt:lpstr>
      <vt:lpstr>Elig_CompHC</vt:lpstr>
      <vt:lpstr>Elig_ELI</vt:lpstr>
      <vt:lpstr>Elig_Grant</vt:lpstr>
      <vt:lpstr>Elig_HOME</vt:lpstr>
      <vt:lpstr>Elig_NonCompHC</vt:lpstr>
      <vt:lpstr>Elig_ProForma</vt:lpstr>
      <vt:lpstr>Elig_SAIL</vt:lpstr>
      <vt:lpstr>Elig_SAIL_MD</vt:lpstr>
      <vt:lpstr>Elig_TDCPULimit</vt:lpstr>
      <vt:lpstr>Elig_Workforce</vt:lpstr>
      <vt:lpstr>eminentdomain</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ExcelCheckbox_dual_flush</vt:lpstr>
      <vt:lpstr>ExcelCheckbox_Employment_Assistance_general</vt:lpstr>
      <vt:lpstr>ExcelCheckbox_ES_roof_coating</vt:lpstr>
      <vt:lpstr>ExcelCheckbox_ES_roof_materials</vt:lpstr>
      <vt:lpstr>ExcelCheckbox_ExpApplicant</vt:lpstr>
      <vt:lpstr>ExcelCheckbox_Family_Support_Coordinator</vt:lpstr>
      <vt:lpstr>ExcelCheckbox_Financial_Counseling</vt:lpstr>
      <vt:lpstr>ExcelCheckbox_flooring</vt:lpstr>
      <vt:lpstr>ExcelCheckbox_Homeownership_seminar</vt:lpstr>
      <vt:lpstr>ExcelCheckbox_Housekeeping</vt:lpstr>
      <vt:lpstr>ExcelCheckbox_Humidistat</vt:lpstr>
      <vt:lpstr>ExcelCheckBox_LessThan80</vt:lpstr>
      <vt:lpstr>ExcelCheckbox_light_pavement</vt:lpstr>
      <vt:lpstr>ExcelCheckbox_Literacy_Elderly</vt:lpstr>
      <vt:lpstr>ExcelCheckbox_Literacy_Family</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ExcelCheckbox_windows</vt:lpstr>
      <vt:lpstr>ExcelCheckbox_Yards</vt:lpstr>
      <vt:lpstr>ExcelCheckBox_YouthAgingOut</vt:lpstr>
      <vt:lpstr>expected_PIS_date</vt:lpstr>
      <vt:lpstr>Fee_Pmt_Information</vt:lpstr>
      <vt:lpstr>FHFC_Source_1_Adj_Rqst_Amt</vt:lpstr>
      <vt:lpstr>FHFC_Source_2_Adj_Rqst_Amt</vt:lpstr>
      <vt:lpstr>FHFC_Source_3_Adj_Rqst_Amt</vt:lpstr>
      <vt:lpstr>FHFC_Source_4_Adj_Rqst_Amt</vt:lpstr>
      <vt:lpstr>fifty_AMI_Avg_Income_Units</vt:lpstr>
      <vt:lpstr>fifty_AMI_HC</vt:lpstr>
      <vt:lpstr>Financial_bridge_commitment_eligible</vt:lpstr>
      <vt:lpstr>Financial_bridge_commitment_ineligible</vt:lpstr>
      <vt:lpstr>Financial_bridge_commitment_total</vt:lpstr>
      <vt:lpstr>Financial_bridge_interest_eligible</vt:lpstr>
      <vt:lpstr>Financial_bridge_interest_ineligible</vt:lpstr>
      <vt:lpstr>Financial_bridge_interest_total</vt:lpstr>
      <vt:lpstr>Financial_constr_commitment_eligible</vt:lpstr>
      <vt:lpstr>Financial_constr_commitment_ineligible</vt:lpstr>
      <vt:lpstr>Financial_constr_commitment_total</vt:lpstr>
      <vt:lpstr>Financial_constr_enhancement_eligible</vt:lpstr>
      <vt:lpstr>Financial_constr_enhancement_ineligible</vt:lpstr>
      <vt:lpstr>Financial_constr_enhancement_total</vt:lpstr>
      <vt:lpstr>Financial_constr_interest_eligible</vt:lpstr>
      <vt:lpstr>Financial_constr_interest_ineligible</vt:lpstr>
      <vt:lpstr>Financial_constr_interest_total</vt:lpstr>
      <vt:lpstr>Financial_nonperm_closing_eligible</vt:lpstr>
      <vt:lpstr>Financial_nonperm_closing_ineligible</vt:lpstr>
      <vt:lpstr>Financial_nonperm_closing_total</vt:lpstr>
      <vt:lpstr>Financial_other_eligible</vt:lpstr>
      <vt:lpstr>Financial_other_ineligible</vt:lpstr>
      <vt:lpstr>Financial_other_total</vt:lpstr>
      <vt:lpstr>Financial_perm_closing_ineligible</vt:lpstr>
      <vt:lpstr>Financial_perm_closing_total</vt:lpstr>
      <vt:lpstr>Financial_perm_commitment_ineligible</vt:lpstr>
      <vt:lpstr>Financial_perm_commitment_total</vt:lpstr>
      <vt:lpstr>Financial_perm_enhancement_ineligible</vt:lpstr>
      <vt:lpstr>Financial_perm_enhancement_total</vt:lpstr>
      <vt:lpstr>Financial_total_eligible</vt:lpstr>
      <vt:lpstr>Financial_total_ineligible</vt:lpstr>
      <vt:lpstr>Financial_totalcosts_total</vt:lpstr>
      <vt:lpstr>FLKeys_N_S</vt:lpstr>
      <vt:lpstr>FO_TDC_PU_Limit</vt:lpstr>
      <vt:lpstr>forty_AMI_Avg_Income_Units</vt:lpstr>
      <vt:lpstr>forty_AMI_HC</vt:lpstr>
      <vt:lpstr>fortyfive_AMI_HC</vt:lpstr>
      <vt:lpstr>Four_Bed_Four_Bath_ELI_Units</vt:lpstr>
      <vt:lpstr>Four_Bed_Four_Bath_Total_Units</vt:lpstr>
      <vt:lpstr>Four_Bed_One_and_half_Bath_ELI_Units</vt:lpstr>
      <vt:lpstr>Four_Bed_One_and_half_Bath_Total_Units</vt:lpstr>
      <vt:lpstr>Four_Bed_One_Bath_ELI_Units</vt:lpstr>
      <vt:lpstr>Four_Bed_One_Bath_Total_Units</vt:lpstr>
      <vt:lpstr>Four_Bed_Three_and_half_Bath_ELI_Units</vt:lpstr>
      <vt:lpstr>Four_Bed_Three_and_half_Bath_Total_Units</vt:lpstr>
      <vt:lpstr>Four_Bed_Three_Bath_ELI_Units</vt:lpstr>
      <vt:lpstr>Four_Bed_Three_Bath_Total_Units</vt:lpstr>
      <vt:lpstr>Four_Bed_Two_and_half_Bath_ELI_Units</vt:lpstr>
      <vt:lpstr>Four_Bed_Two_and_half_Bath_Total_Units</vt:lpstr>
      <vt:lpstr>Four_Bed_Two_Bath_ELI_Units</vt:lpstr>
      <vt:lpstr>Four_Bed_Two_Bath_Total_Units</vt:lpstr>
      <vt:lpstr>GAO_Number1</vt:lpstr>
      <vt:lpstr>GAO_Number2</vt:lpstr>
      <vt:lpstr>GAO_Number3</vt:lpstr>
      <vt:lpstr>Garden_ESS_NC_units</vt:lpstr>
      <vt:lpstr>Garden_ESS_Rehab_units</vt:lpstr>
      <vt:lpstr>Garden_non_ESS_NC_units</vt:lpstr>
      <vt:lpstr>Garden_non_ESS_Rehab_units</vt:lpstr>
      <vt:lpstr>GCF_DollarMax</vt:lpstr>
      <vt:lpstr>GCFee_DollarMax</vt:lpstr>
      <vt:lpstr>GCFee_Pass</vt:lpstr>
      <vt:lpstr>GCFee_PercentMax</vt:lpstr>
      <vt:lpstr>General_Accounting_eligible</vt:lpstr>
      <vt:lpstr>General_Accounting_ineligible</vt:lpstr>
      <vt:lpstr>General_Accounting_total</vt:lpstr>
      <vt:lpstr>General_adminfee_ineligible</vt:lpstr>
      <vt:lpstr>General_adminfee_total</vt:lpstr>
      <vt:lpstr>General_applicationfee_ineligible</vt:lpstr>
      <vt:lpstr>General_applicationfee_total</vt:lpstr>
      <vt:lpstr>General_Appraisal_eligible</vt:lpstr>
      <vt:lpstr>General_Appraisal_ineligible</vt:lpstr>
      <vt:lpstr>General_Appraisal_total</vt:lpstr>
      <vt:lpstr>General_Architectfeedesign_eligible</vt:lpstr>
      <vt:lpstr>General_Architectfeedesign_ineligible</vt:lpstr>
      <vt:lpstr>General_Architectfeedesign_total</vt:lpstr>
      <vt:lpstr>General_Architectfeesupervision_eligible</vt:lpstr>
      <vt:lpstr>General_Architectfeesupervision_ineligible</vt:lpstr>
      <vt:lpstr>General_Architectfeesupervision_total</vt:lpstr>
      <vt:lpstr>General_builder_ins_eligible</vt:lpstr>
      <vt:lpstr>General_builder_ins_ineligible</vt:lpstr>
      <vt:lpstr>General_builder_ins_total</vt:lpstr>
      <vt:lpstr>General_capitalneeds_eligible</vt:lpstr>
      <vt:lpstr>General_capitalneeds_ineligible</vt:lpstr>
      <vt:lpstr>General_capitalneeds_total</vt:lpstr>
      <vt:lpstr>General_compliancefee_ineligible</vt:lpstr>
      <vt:lpstr>General_compliancefee_total</vt:lpstr>
      <vt:lpstr>General_cu_fee_eligible</vt:lpstr>
      <vt:lpstr>General_cu_fee_ineligible</vt:lpstr>
      <vt:lpstr>General_cu_fee_total</vt:lpstr>
      <vt:lpstr>General_engineering_eligible</vt:lpstr>
      <vt:lpstr>General_engineering_ineligible</vt:lpstr>
      <vt:lpstr>General_engineering_total</vt:lpstr>
      <vt:lpstr>General_environmental_eligible</vt:lpstr>
      <vt:lpstr>General_environmental_ineligible</vt:lpstr>
      <vt:lpstr>General_environmental_total</vt:lpstr>
      <vt:lpstr>General_HERS_eligible</vt:lpstr>
      <vt:lpstr>General_HERS_ineligible</vt:lpstr>
      <vt:lpstr>General_HERS_total</vt:lpstr>
      <vt:lpstr>General_Impact_eligible</vt:lpstr>
      <vt:lpstr>General_Impact_ineligible</vt:lpstr>
      <vt:lpstr>General_Impact_total</vt:lpstr>
      <vt:lpstr>General_inspectionfee_eligible</vt:lpstr>
      <vt:lpstr>General_inspectionfee_ineligible</vt:lpstr>
      <vt:lpstr>General_inspectionfee_total</vt:lpstr>
      <vt:lpstr>General_insurance_eligible</vt:lpstr>
      <vt:lpstr>General_insurance_ineligible</vt:lpstr>
      <vt:lpstr>General_insurance_total</vt:lpstr>
      <vt:lpstr>General_legalfee_eligible</vt:lpstr>
      <vt:lpstr>General_legalfee_ineligible</vt:lpstr>
      <vt:lpstr>General_legalfee_total</vt:lpstr>
      <vt:lpstr>General_marketing_ineligible</vt:lpstr>
      <vt:lpstr>General_marketing_total</vt:lpstr>
      <vt:lpstr>General_marketstudy_eligible</vt:lpstr>
      <vt:lpstr>General_marketstudy_ineligible</vt:lpstr>
      <vt:lpstr>General_marketstudy_total</vt:lpstr>
      <vt:lpstr>General_other_eligible</vt:lpstr>
      <vt:lpstr>General_other_ineligible</vt:lpstr>
      <vt:lpstr>General_other_total</vt:lpstr>
      <vt:lpstr>General_permit_eligible</vt:lpstr>
      <vt:lpstr>General_permit_ineligible</vt:lpstr>
      <vt:lpstr>General_permit_total</vt:lpstr>
      <vt:lpstr>General_propertytaxes_eligible</vt:lpstr>
      <vt:lpstr>General_propertytaxes_ineligible</vt:lpstr>
      <vt:lpstr>General_propertytaxes_total</vt:lpstr>
      <vt:lpstr>General_relocation_eligible</vt:lpstr>
      <vt:lpstr>General_relocation_ineligible</vt:lpstr>
      <vt:lpstr>General_relocation_total</vt:lpstr>
      <vt:lpstr>General_soiltest_eligible</vt:lpstr>
      <vt:lpstr>General_soiltest_ineligible</vt:lpstr>
      <vt:lpstr>General_soiltest_total</vt:lpstr>
      <vt:lpstr>General_survey_eligible</vt:lpstr>
      <vt:lpstr>General_survey_ineligible</vt:lpstr>
      <vt:lpstr>General_survey_total</vt:lpstr>
      <vt:lpstr>General_titleinsurance_eligible</vt:lpstr>
      <vt:lpstr>General_titleinsurance_ineligible</vt:lpstr>
      <vt:lpstr>General_titleinsurance_total</vt:lpstr>
      <vt:lpstr>General_totaldevelopmentcost_eligible</vt:lpstr>
      <vt:lpstr>General_totaldevelopmentcost_ineligible</vt:lpstr>
      <vt:lpstr>General_totaldevelopmentcost_total</vt:lpstr>
      <vt:lpstr>General_utilityconnection_eligible</vt:lpstr>
      <vt:lpstr>General_utilityconnection_ineligible</vt:lpstr>
      <vt:lpstr>General_utilityconnection_total</vt:lpstr>
      <vt:lpstr>Geo_Area_of_Opp_boost</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HardCC_DollarMax</vt:lpstr>
      <vt:lpstr>HardCC_Pass</vt:lpstr>
      <vt:lpstr>HardCC_PercentMax</vt:lpstr>
      <vt:lpstr>HCC_DollarMax</vt:lpstr>
      <vt:lpstr>HOME_Request_Amount</vt:lpstr>
      <vt:lpstr>HR_ESS_NC_units</vt:lpstr>
      <vt:lpstr>Land_ineligible</vt:lpstr>
      <vt:lpstr>Land_total</vt:lpstr>
      <vt:lpstr>LG_Name1</vt:lpstr>
      <vt:lpstr>LG_Name1_Cash_Grant</vt:lpstr>
      <vt:lpstr>LG_Name1_Cash_Loan</vt:lpstr>
      <vt:lpstr>LG_Name2</vt:lpstr>
      <vt:lpstr>LG_Name2_Cash_Grant</vt:lpstr>
      <vt:lpstr>LG_Name2_Cash_Loan</vt:lpstr>
      <vt:lpstr>LG_Name3</vt:lpstr>
      <vt:lpstr>LG_Name3_Cash_Grant</vt:lpstr>
      <vt:lpstr>LG_Name3_Cash_Loan</vt:lpstr>
      <vt:lpstr>LG_Name4</vt:lpstr>
      <vt:lpstr>LG_Name4_Cash_Grant</vt:lpstr>
      <vt:lpstr>LG_Name4_Cash_Loan</vt:lpstr>
      <vt:lpstr>LGAO_Number</vt:lpstr>
      <vt:lpstr>LGC_FD_Face</vt:lpstr>
      <vt:lpstr>LGC_FD_NPV</vt:lpstr>
      <vt:lpstr>LGC_FW_Face</vt:lpstr>
      <vt:lpstr>LGC_Grant_Face</vt:lpstr>
      <vt:lpstr>LGC_Loan_Face</vt:lpstr>
      <vt:lpstr>LGC_Loan_NPV</vt:lpstr>
      <vt:lpstr>Local_govt_contribution</vt:lpstr>
      <vt:lpstr>Mand_distance</vt:lpstr>
      <vt:lpstr>Market_Avg_Income_Units</vt:lpstr>
      <vt:lpstr>Max_ARP</vt:lpstr>
      <vt:lpstr>Max_Competitive_HC</vt:lpstr>
      <vt:lpstr>Max_ELI</vt:lpstr>
      <vt:lpstr>Max_Grant</vt:lpstr>
      <vt:lpstr>Max_HOME</vt:lpstr>
      <vt:lpstr>Max_NHTF</vt:lpstr>
      <vt:lpstr>Max_SAIL</vt:lpstr>
      <vt:lpstr>Max_TBD</vt:lpstr>
      <vt:lpstr>Max_Workforce</vt:lpstr>
      <vt:lpstr>MD_N_S</vt:lpstr>
      <vt:lpstr>Medical_Address</vt:lpstr>
      <vt:lpstr>Medical_Distance</vt:lpstr>
      <vt:lpstr>Medical_Name</vt:lpstr>
      <vt:lpstr>Medical_points</vt:lpstr>
      <vt:lpstr>Met_Bonds</vt:lpstr>
      <vt:lpstr>Met_CompHC</vt:lpstr>
      <vt:lpstr>Met_ELI</vt:lpstr>
      <vt:lpstr>Met_Grant</vt:lpstr>
      <vt:lpstr>Met_HOME</vt:lpstr>
      <vt:lpstr>Met_NonCompHC</vt:lpstr>
      <vt:lpstr>Met_ProForma</vt:lpstr>
      <vt:lpstr>Met_SAIL</vt:lpstr>
      <vt:lpstr>Met_SAIL_MD</vt:lpstr>
      <vt:lpstr>Met_TDCPPULimit</vt:lpstr>
      <vt:lpstr>Met_Workforce</vt:lpstr>
      <vt:lpstr>Mgmt_Co_Address</vt:lpstr>
      <vt:lpstr>Mgmt_Co_City</vt:lpstr>
      <vt:lpstr>Mgmt_Co_Email</vt:lpstr>
      <vt:lpstr>Mgmt_Co_Exp_first_currently_or_formerly_managed</vt:lpstr>
      <vt:lpstr>Mgmt_Co_Exp_first_Dev_name</vt:lpstr>
      <vt:lpstr>Mgmt_Co_Exp_first_location</vt:lpstr>
      <vt:lpstr>Mgmt_Co_Exp_first_time</vt:lpstr>
      <vt:lpstr>Mgmt_Co_Exp_first_units</vt:lpstr>
      <vt:lpstr>Mgmt_Co_Exp_secnod_currently_or_formerly_managed</vt:lpstr>
      <vt:lpstr>Mgmt_Co_Exp_second_Dev_name</vt:lpstr>
      <vt:lpstr>Mgmt_Co_Exp_second_location</vt:lpstr>
      <vt:lpstr>Mgmt_Co_Exp_second_time</vt:lpstr>
      <vt:lpstr>Mgmt_Co_Exp_second_units</vt:lpstr>
      <vt:lpstr>Mgmt_Co_Experienced_entity</vt:lpstr>
      <vt:lpstr>Mgmt_Co_Phone</vt:lpstr>
      <vt:lpstr>Mgmt_Co_Phone_ext</vt:lpstr>
      <vt:lpstr>Mgmt_Co_State</vt:lpstr>
      <vt:lpstr>Mgmt_Co_Zip_Code</vt:lpstr>
      <vt:lpstr>Mgmt_InputReq</vt:lpstr>
      <vt:lpstr>Mgmt_InputTracking</vt:lpstr>
      <vt:lpstr>Minimum_ELI</vt:lpstr>
      <vt:lpstr>Minimum_SetAside_per_Sec_42</vt:lpstr>
      <vt:lpstr>MMRB_Request_Amount</vt:lpstr>
      <vt:lpstr>MR_and_HR_ESS_Rehab_units</vt:lpstr>
      <vt:lpstr>MR_and_HR_non_ESS_Rehab_units</vt:lpstr>
      <vt:lpstr>MR_ESS_NC_units</vt:lpstr>
      <vt:lpstr>MR_Non_ESS_NC_units</vt:lpstr>
      <vt:lpstr>Multiphase_firstphase</vt:lpstr>
      <vt:lpstr>Multiphase_subsequent</vt:lpstr>
      <vt:lpstr>Name_Of_Applicant</vt:lpstr>
      <vt:lpstr>Name_Of_Developer_1</vt:lpstr>
      <vt:lpstr>Name_Of_Developer_2</vt:lpstr>
      <vt:lpstr>Name_Of_Developer_3</vt:lpstr>
      <vt:lpstr>Name_of_Mgmt_Co</vt:lpstr>
      <vt:lpstr>Name_of_proposed_Development</vt:lpstr>
      <vt:lpstr>NHTF_Indicator</vt:lpstr>
      <vt:lpstr>NHTF_Request_Amount</vt:lpstr>
      <vt:lpstr>Non_Competitive_HC_Request_Amount</vt:lpstr>
      <vt:lpstr>NonAIT_HC_SA_Percent</vt:lpstr>
      <vt:lpstr>NonProfit_Applicant</vt:lpstr>
      <vt:lpstr>number_of_PBS</vt:lpstr>
      <vt:lpstr>occupancy_status</vt:lpstr>
      <vt:lpstr>Occupancy_status_URA</vt:lpstr>
      <vt:lpstr>Occupied_units</vt:lpstr>
      <vt:lpstr>ODR_eligible</vt:lpstr>
      <vt:lpstr>ODR_ineligible</vt:lpstr>
      <vt:lpstr>ODR_total</vt:lpstr>
      <vt:lpstr>One_Bed_One_Bath_ELI_Units</vt:lpstr>
      <vt:lpstr>One_Bed_One_Bath_Total_Units</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Optional_CF</vt:lpstr>
      <vt:lpstr>Optional_DL</vt:lpstr>
      <vt:lpstr>Optional_Fund</vt:lpstr>
      <vt:lpstr>Optional_GI</vt:lpstr>
      <vt:lpstr>Optional_HOME</vt:lpstr>
      <vt:lpstr>Optional_PDI</vt:lpstr>
      <vt:lpstr>Optional_Prox</vt:lpstr>
      <vt:lpstr>Optional_RP</vt:lpstr>
      <vt:lpstr>Optional_Serv</vt:lpstr>
      <vt:lpstr>Optional_USAB</vt:lpstr>
      <vt:lpstr>Other_eligible</vt:lpstr>
      <vt:lpstr>Other_ESS_NC_units</vt:lpstr>
      <vt:lpstr>Other_ESS_Rehab_units</vt:lpstr>
      <vt:lpstr>Other_Federal_assistance_units</vt:lpstr>
      <vt:lpstr>Other_ineligible</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vt:lpstr>
      <vt:lpstr>pct_units_in_setaside_chart</vt:lpstr>
      <vt:lpstr>Percent_Credits_Purchased</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PerUnitConstFundingPref</vt:lpstr>
      <vt:lpstr>PHA</vt:lpstr>
      <vt:lpstr>PHA_Area_of_Opp_boost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'Development Location'!Print_Area</vt:lpstr>
      <vt:lpstr>'Eligibility Table'!Print_Area</vt:lpstr>
      <vt:lpstr>Funding!Print_Area</vt:lpstr>
      <vt:lpstr>'General Information'!Print_Area</vt:lpstr>
      <vt:lpstr>'HOME URA'!Print_Area</vt:lpstr>
      <vt:lpstr>'Local Gov''t Contributions'!Print_Area</vt:lpstr>
      <vt:lpstr>'Narrative Scoring'!Print_Area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Certification!Print_Titles</vt:lpstr>
      <vt:lpstr>'Eligibility Table'!Print_Titles</vt:lpstr>
      <vt:lpstr>Funding!Print_Titles</vt:lpstr>
      <vt:lpstr>'Proposed Development Info'!Print_Titles</vt:lpstr>
      <vt:lpstr>Services!Print_Titles</vt:lpstr>
      <vt:lpstr>Priority_Level</vt:lpstr>
      <vt:lpstr>private_co</vt:lpstr>
      <vt:lpstr>Private_transportation</vt:lpstr>
      <vt:lpstr>Pro_Forma_Dev_Cat</vt:lpstr>
      <vt:lpstr>Prox_List_Related_Disregard_1</vt:lpstr>
      <vt:lpstr>Prox_List_Related_Disregard_2</vt:lpstr>
      <vt:lpstr>Prox_List_Related_Disregard_3</vt:lpstr>
      <vt:lpstr>Prox_List_Related_Disregard_4</vt:lpstr>
      <vt:lpstr>Prox_List_Related_Disregard_5</vt:lpstr>
      <vt:lpstr>Proximity_list_related</vt:lpstr>
      <vt:lpstr>PU_Constr_Fund_Pref_Dollar</vt:lpstr>
      <vt:lpstr>QCT</vt:lpstr>
      <vt:lpstr>QCT_metro_or_nonmetro</vt:lpstr>
      <vt:lpstr>QCT_number</vt:lpstr>
      <vt:lpstr>RD_Prox_boost</vt:lpstr>
      <vt:lpstr>RECAP</vt:lpstr>
      <vt:lpstr>Required_CF</vt:lpstr>
      <vt:lpstr>Required_DL</vt:lpstr>
      <vt:lpstr>Required_Fund</vt:lpstr>
      <vt:lpstr>Required_GI</vt:lpstr>
      <vt:lpstr>Required_HOME</vt:lpstr>
      <vt:lpstr>Required_PDI</vt:lpstr>
      <vt:lpstr>Required_Prox</vt:lpstr>
      <vt:lpstr>Required_RP</vt:lpstr>
      <vt:lpstr>Required_Serv</vt:lpstr>
      <vt:lpstr>Required_USAB</vt:lpstr>
      <vt:lpstr>residential_buildings</vt:lpstr>
      <vt:lpstr>SADDA_ZCTA_1</vt:lpstr>
      <vt:lpstr>SADDA_ZCTA_2</vt:lpstr>
      <vt:lpstr>SADDA_ZCTA_3</vt:lpstr>
      <vt:lpstr>SAIL_Request_Amount</vt:lpstr>
      <vt:lpstr>Scattered_Sites</vt:lpstr>
      <vt:lpstr>Scattered_Sites_lat_long</vt:lpstr>
      <vt:lpstr>SCC_DollarMax</vt:lpstr>
      <vt:lpstr>School_Address</vt:lpstr>
      <vt:lpstr>School_Distance</vt:lpstr>
      <vt:lpstr>School_Name</vt:lpstr>
      <vt:lpstr>School_points</vt:lpstr>
      <vt:lpstr>Self_Sourced_Applicant</vt:lpstr>
      <vt:lpstr>seventy_AMI_Avg_Income_Units</vt:lpstr>
      <vt:lpstr>SiF_ESS_NC_Units</vt:lpstr>
      <vt:lpstr>SiF_Non_ESS_NC_Units</vt:lpstr>
      <vt:lpstr>sixty_AMI_Avg_Income_Units</vt:lpstr>
      <vt:lpstr>sixty_AMI_HC</vt:lpstr>
      <vt:lpstr>sixtyfive_AMI_Legislative</vt:lpstr>
      <vt:lpstr>Small_Area_DDA</vt:lpstr>
      <vt:lpstr>Submission_Goal</vt:lpstr>
      <vt:lpstr>TB_FL_JobCreat_Pref_Met</vt:lpstr>
      <vt:lpstr>TB_PUConst_Pref_Met</vt:lpstr>
      <vt:lpstr>TB_QFA_Pref_Met</vt:lpstr>
      <vt:lpstr>TB_Request_Percent_TDC_Met</vt:lpstr>
      <vt:lpstr>TB_Request_PSAU</vt:lpstr>
      <vt:lpstr>TBD_Request_Amount</vt:lpstr>
      <vt:lpstr>TDC_Base_Limit</vt:lpstr>
      <vt:lpstr>TDC_eligible</vt:lpstr>
      <vt:lpstr>TDC_ineligible</vt:lpstr>
      <vt:lpstr>TDC_PU_Actual</vt:lpstr>
      <vt:lpstr>TDC_PU_Met</vt:lpstr>
      <vt:lpstr>TDC_total</vt:lpstr>
      <vt:lpstr>temp_relocated</vt:lpstr>
      <vt:lpstr>temp_relocated_units</vt:lpstr>
      <vt:lpstr>thirty_AMI_Avg_Income_Units</vt:lpstr>
      <vt:lpstr>thirty_AMI_HC</vt:lpstr>
      <vt:lpstr>thirtyfive_AMI_HC</vt:lpstr>
      <vt:lpstr>thirtythree_AMI_HC</vt:lpstr>
      <vt:lpstr>Three_Bed_One_and_half_Bath_ELI_Units</vt:lpstr>
      <vt:lpstr>Three_Bed_One_and_half_Bath_Total_Units</vt:lpstr>
      <vt:lpstr>Three_Bed_One_Bath_ELI_Units</vt:lpstr>
      <vt:lpstr>Three_Bed_One_Bath_Total_Units</vt:lpstr>
      <vt:lpstr>Three_Bed_Three_Bath_ELI_Units</vt:lpstr>
      <vt:lpstr>Three_Bed_Three_Bath_Total_Units</vt:lpstr>
      <vt:lpstr>Three_Bed_Two_and_half_Bath_ELI_Units</vt:lpstr>
      <vt:lpstr>Three_Bed_Two_and_half_Bath_Total_Units</vt:lpstr>
      <vt:lpstr>Three_Bed_Two_Bath_ELI_Units</vt:lpstr>
      <vt:lpstr>Three_Bed_Two_Bath_Total_Units</vt:lpstr>
      <vt:lpstr>Total_AIT_Chart_Units</vt:lpstr>
      <vt:lpstr>Total_Cash_Funding</vt:lpstr>
      <vt:lpstr>Total_Existing_Units</vt:lpstr>
      <vt:lpstr>Total_Gap_Chart_Units</vt:lpstr>
      <vt:lpstr>total_HC_units_avg_inc</vt:lpstr>
      <vt:lpstr>total_HC_units_NonAIT</vt:lpstr>
      <vt:lpstr>Total_NonGrant_Mtg</vt:lpstr>
      <vt:lpstr>total_proximity_points_achieved</vt:lpstr>
      <vt:lpstr>Total_Units</vt:lpstr>
      <vt:lpstr>total_units_in_setaside_chart</vt:lpstr>
      <vt:lpstr>total_units_in_unit_desc_chart</vt:lpstr>
      <vt:lpstr>total_units_non_avg_inc</vt:lpstr>
      <vt:lpstr>Transit_BTS_distance</vt:lpstr>
      <vt:lpstr>Transit_BTS_lat</vt:lpstr>
      <vt:lpstr>Transit_BTS_long</vt:lpstr>
      <vt:lpstr>Transit_BTS_points</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Transit_Rail_distance</vt:lpstr>
      <vt:lpstr>Transit_Rail_lat</vt:lpstr>
      <vt:lpstr>Transit_Rail_long</vt:lpstr>
      <vt:lpstr>Transit_Rail_points</vt:lpstr>
      <vt:lpstr>twenty_AMI_Avg_Income_Units</vt:lpstr>
      <vt:lpstr>twentyeight_AMI_HC</vt:lpstr>
      <vt:lpstr>twentyeight_AMI_non_avg_inc</vt:lpstr>
      <vt:lpstr>twentyeight_non_avg_inc</vt:lpstr>
      <vt:lpstr>twentyfive_AMI_HC</vt:lpstr>
      <vt:lpstr>twentyfive_AMI_non</vt:lpstr>
      <vt:lpstr>twentyfive_AMI_non_avg_inc</vt:lpstr>
      <vt:lpstr>Two_Bed_One_and_half_Bath_ELI_Units</vt:lpstr>
      <vt:lpstr>Two_Bed_One_and_half_Bath_Total_Units</vt:lpstr>
      <vt:lpstr>Two_Bed_One_Bath_ELI_Units</vt:lpstr>
      <vt:lpstr>Two_Bed_One_Bath_Total_Units</vt:lpstr>
      <vt:lpstr>Two_Bed_Two_Bath_ELI_Units</vt:lpstr>
      <vt:lpstr>Two_Bed_Two_Bath_Total_Units</vt:lpstr>
      <vt:lpstr>Workforce_AMI_non_avg_inc</vt:lpstr>
      <vt:lpstr>Workforce_Avg_Income_Units</vt:lpstr>
      <vt:lpstr>Workforce_Request_Amount</vt:lpstr>
      <vt:lpstr>year_built</vt:lpstr>
      <vt:lpstr>Zero_Bed_One_Bath_ELI_Units</vt:lpstr>
      <vt:lpstr>Zero_Bed_One_Bath_Total_Units</vt:lpstr>
      <vt:lpstr>Zero_Bed_One_Bath_Units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Kevin Tatreau</cp:lastModifiedBy>
  <cp:revision/>
  <cp:lastPrinted>2022-08-22T16:12:46Z</cp:lastPrinted>
  <dcterms:created xsi:type="dcterms:W3CDTF">2021-01-19T14:53:27Z</dcterms:created>
  <dcterms:modified xsi:type="dcterms:W3CDTF">2022-08-25T19:56:36Z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ies>
</file>