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https://intranet.floridahousing.org/sites/MF/allocations/Combined Cycle/2020 Rules and RFAs/2020-103 Homeless/ELI and NHTF Worksheet/"/>
    </mc:Choice>
  </mc:AlternateContent>
  <xr:revisionPtr revIDLastSave="0" documentId="13_ncr:1_{6A25EA47-FFD1-40A8-B69C-C1EBB5EFA6BB}" xr6:coauthVersionLast="44" xr6:coauthVersionMax="44" xr10:uidLastSave="{00000000-0000-0000-0000-000000000000}"/>
  <workbookProtection workbookAlgorithmName="SHA-512" workbookHashValue="PtATi6fe/CI7R9z7Y5KdLhOXkhmSh4mPKRctF9rKWO8bvjN1XEn7ttaO7ZPiX43dGPOob1gMeOAuIfGqTncNVA==" workbookSaltValue="OzjM5yuniwdLfLEFB69Q1g==" workbookSpinCount="100000" lockStructure="1"/>
  <bookViews>
    <workbookView xWindow="22932" yWindow="-108" windowWidth="23256" windowHeight="12576" xr2:uid="{00000000-000D-0000-FFFF-FFFF00000000}"/>
  </bookViews>
  <sheets>
    <sheet name="Sheet1" sheetId="1" r:id="rId1"/>
  </sheets>
  <definedNames>
    <definedName name="ELI_PU">Sheet1!$A$35:$H$102</definedName>
    <definedName name="_xlnm.Print_Area" localSheetId="0">Sheet1!$A$1:$G$30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4" i="1" l="1"/>
  <c r="F23" i="1"/>
  <c r="F22" i="1"/>
  <c r="F21" i="1"/>
  <c r="F20" i="1"/>
  <c r="G13" i="1"/>
  <c r="H12" i="1"/>
  <c r="H102" i="1" l="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G15" i="1" s="1"/>
  <c r="H40" i="1"/>
  <c r="H39" i="1"/>
  <c r="H38" i="1"/>
  <c r="H37" i="1"/>
  <c r="H36" i="1"/>
  <c r="H34" i="1"/>
  <c r="A15" i="1" l="1"/>
  <c r="H15" i="1"/>
  <c r="A123" i="1"/>
  <c r="G8" i="1" l="1"/>
  <c r="C24" i="1" l="1"/>
  <c r="C23" i="1"/>
  <c r="C22" i="1"/>
  <c r="C21" i="1"/>
  <c r="C20" i="1"/>
  <c r="E20" i="1" s="1"/>
  <c r="B26" i="1"/>
  <c r="H24" i="1" l="1"/>
  <c r="H23" i="1"/>
  <c r="H22" i="1"/>
  <c r="H20" i="1"/>
  <c r="I20" i="1"/>
  <c r="H21" i="1"/>
  <c r="I21" i="1"/>
  <c r="I23" i="1"/>
  <c r="E21" i="1"/>
  <c r="E22" i="1" s="1"/>
  <c r="D20" i="1"/>
  <c r="D21" i="1" s="1"/>
  <c r="D22" i="1" s="1"/>
  <c r="H26" i="1" l="1"/>
  <c r="E23" i="1"/>
  <c r="E24" i="1" s="1"/>
  <c r="G20" i="1"/>
  <c r="D23" i="1"/>
  <c r="D24" i="1" s="1"/>
  <c r="G22" i="1" l="1"/>
  <c r="G21" i="1"/>
  <c r="G23" i="1" l="1"/>
  <c r="E26" i="1" l="1"/>
  <c r="D26" i="1"/>
  <c r="I34" i="1" l="1"/>
  <c r="F26" i="1"/>
  <c r="D27" i="1"/>
  <c r="G24" i="1"/>
  <c r="E27" i="1"/>
  <c r="G26" i="1" l="1"/>
  <c r="F27" i="1" s="1"/>
</calcChain>
</file>

<file path=xl/sharedStrings.xml><?xml version="1.0" encoding="utf-8"?>
<sst xmlns="http://schemas.openxmlformats.org/spreadsheetml/2006/main" count="201" uniqueCount="129">
  <si>
    <t>A</t>
  </si>
  <si>
    <t>B</t>
  </si>
  <si>
    <t>C</t>
  </si>
  <si>
    <t>D</t>
  </si>
  <si>
    <t>E</t>
  </si>
  <si>
    <t>F</t>
  </si>
  <si>
    <t>G</t>
  </si>
  <si>
    <t># of Bedrooms</t>
  </si>
  <si>
    <t># of Proposed Units</t>
  </si>
  <si>
    <t>Cumulative Proposed Units</t>
  </si>
  <si>
    <t>Maximum ELI Loan allowable for each Unit Size</t>
  </si>
  <si>
    <t>Maximum Eligible ELI Loan</t>
  </si>
  <si>
    <t>Totals</t>
  </si>
  <si>
    <t>County</t>
  </si>
  <si>
    <t>0 &amp; 1 Bedroom Units</t>
  </si>
  <si>
    <t>2 Bedroom Units</t>
  </si>
  <si>
    <t>3 &amp; Higher Bedroom Units</t>
  </si>
  <si>
    <t>Alachua</t>
  </si>
  <si>
    <t>Baker</t>
  </si>
  <si>
    <t>Bay</t>
  </si>
  <si>
    <t>Bradford</t>
  </si>
  <si>
    <t>Brevard</t>
  </si>
  <si>
    <t>Broward</t>
  </si>
  <si>
    <t>Calhoun</t>
  </si>
  <si>
    <t>Charlotte</t>
  </si>
  <si>
    <t>Citrus</t>
  </si>
  <si>
    <t>Clay</t>
  </si>
  <si>
    <t>Collier</t>
  </si>
  <si>
    <t>Columbia</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</si>
  <si>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</si>
  <si>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</si>
  <si>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</si>
  <si>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</si>
  <si>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</si>
  <si>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</si>
  <si>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</si>
  <si>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</si>
  <si>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</si>
  <si>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</si>
  <si>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</si>
  <si>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</si>
  <si>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</si>
  <si>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</si>
  <si>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</si>
  <si>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</si>
  <si>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</si>
  <si>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</si>
  <si>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</si>
  <si>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</si>
  <si>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</si>
  <si>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</si>
  <si>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</si>
  <si>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</si>
  <si>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</si>
  <si>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</si>
  <si>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</si>
  <si>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</si>
  <si>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</si>
  <si>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</si>
  <si>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Miami-Dade</t>
  </si>
  <si>
    <t>Monroe</t>
  </si>
  <si>
    <t>Nassau</t>
  </si>
  <si>
    <t>Okaloosa</t>
  </si>
  <si>
    <t>Okeechobee</t>
  </si>
  <si>
    <t>Orange</t>
  </si>
  <si>
    <t>Osceola</t>
  </si>
  <si>
    <t>Palm Beach</t>
  </si>
  <si>
    <t>Pasco</t>
  </si>
  <si>
    <t>Pinellas</t>
  </si>
  <si>
    <t>Polk</t>
  </si>
  <si>
    <t>Putnam</t>
  </si>
  <si>
    <t>Saint Johns</t>
  </si>
  <si>
    <t>Saint Lucie</t>
  </si>
  <si>
    <t>Santa Rosa</t>
  </si>
  <si>
    <t>Sarasota</t>
  </si>
  <si>
    <t>Seminole</t>
  </si>
  <si>
    <t>Sumter</t>
  </si>
  <si>
    <t>Suwannee</t>
  </si>
  <si>
    <t>Taylor</t>
  </si>
  <si>
    <t>Union</t>
  </si>
  <si>
    <t>Volusia</t>
  </si>
  <si>
    <t>Wakulla</t>
  </si>
  <si>
    <t>Walton</t>
  </si>
  <si>
    <t>Washington</t>
  </si>
  <si>
    <t>Distribution of Applicant's ELI Commitment</t>
  </si>
  <si>
    <t>Distribution of FHFC Funded ELI Units</t>
  </si>
  <si>
    <t>Input your unit mix into this column</t>
  </si>
  <si>
    <t>Maximum amount of ELI Loan eligible to request</t>
  </si>
  <si>
    <t>&lt;Select a County&gt;</t>
  </si>
  <si>
    <t>Medium</t>
  </si>
  <si>
    <t>Small</t>
  </si>
  <si>
    <t>Large</t>
  </si>
  <si>
    <t>County Size</t>
  </si>
  <si>
    <t>Yes</t>
  </si>
  <si>
    <t>No</t>
  </si>
  <si>
    <t>&lt;Select&gt;</t>
  </si>
  <si>
    <t>A Tool to Assist Applicants in Determining their Pro-rata Distribution of ELI Units, Maximum ELI Loan Amount &amp; Estimated NHTF Loan Amount</t>
  </si>
  <si>
    <t>Maximum ELI Loan Determination &amp; Estimated NHTF Loan Amount Worksheet</t>
  </si>
  <si>
    <t>ELI Loan &amp; NHTF Loan Amounts Per Bedroom Count for each County.</t>
  </si>
  <si>
    <t>&lt;Enter %&gt;</t>
  </si>
  <si>
    <t>ELI Loan cap</t>
  </si>
  <si>
    <t>Avg Inc Test</t>
  </si>
  <si>
    <t>40% @ 60%</t>
  </si>
  <si>
    <t>20% @ 50%</t>
  </si>
  <si>
    <r>
      <rPr>
        <b/>
        <sz val="10"/>
        <color theme="1"/>
        <rFont val="Arial"/>
        <family val="2"/>
      </rPr>
      <t>1.</t>
    </r>
    <r>
      <rPr>
        <sz val="10"/>
        <color theme="1"/>
        <rFont val="Arial"/>
        <family val="2"/>
      </rPr>
      <t xml:space="preserve"> Select the County in which your proposed Development is located…...........................................................................</t>
    </r>
  </si>
  <si>
    <r>
      <rPr>
        <b/>
        <sz val="10"/>
        <color theme="1"/>
        <rFont val="Arial"/>
        <family val="2"/>
      </rPr>
      <t>2.</t>
    </r>
    <r>
      <rPr>
        <sz val="10"/>
        <color theme="1"/>
        <rFont val="Arial"/>
        <family val="2"/>
      </rPr>
      <t xml:space="preserve"> County size designation….......................................................................................................................................................</t>
    </r>
  </si>
  <si>
    <r>
      <rPr>
        <b/>
        <sz val="10"/>
        <color theme="1"/>
        <rFont val="Arial"/>
        <family val="2"/>
      </rPr>
      <t>4.</t>
    </r>
    <r>
      <rPr>
        <sz val="10"/>
        <color theme="1"/>
        <rFont val="Arial"/>
        <family val="2"/>
      </rPr>
      <t xml:space="preserve"> Indicate the IRS Minimum Set-Aside Commitment…........................................................................................................</t>
    </r>
  </si>
  <si>
    <r>
      <rPr>
        <b/>
        <sz val="10"/>
        <color theme="1"/>
        <rFont val="Arial"/>
        <family val="2"/>
      </rPr>
      <t xml:space="preserve">5. </t>
    </r>
    <r>
      <rPr>
        <sz val="10"/>
        <color theme="1"/>
        <rFont val="Arial"/>
        <family val="2"/>
      </rPr>
      <t>Is the proposed Development located in an LDA?............................................................................................................</t>
    </r>
  </si>
  <si>
    <t>NHTF $ per 0- or 1-Bedroom Unit</t>
  </si>
  <si>
    <t>RFA ELI AMI</t>
  </si>
  <si>
    <t>Garden (Not ESSC)</t>
  </si>
  <si>
    <t>Garden (ESSC)</t>
  </si>
  <si>
    <t>Mid-Rise (not ESSC)</t>
  </si>
  <si>
    <t>Mid-Rise (ESSC)</t>
  </si>
  <si>
    <t>High-Rise</t>
  </si>
  <si>
    <r>
      <rPr>
        <b/>
        <sz val="10"/>
        <color theme="1"/>
        <rFont val="Arial"/>
        <family val="2"/>
      </rPr>
      <t xml:space="preserve">3. </t>
    </r>
    <r>
      <rPr>
        <sz val="10"/>
        <color theme="1"/>
        <rFont val="Arial"/>
        <family val="2"/>
      </rPr>
      <t>Indicate the Construction Type &amp; ESSC status…...............................................................................................................................</t>
    </r>
  </si>
  <si>
    <r>
      <rPr>
        <b/>
        <sz val="10"/>
        <color theme="1"/>
        <rFont val="Arial"/>
        <family val="2"/>
      </rPr>
      <t xml:space="preserve">5. </t>
    </r>
    <r>
      <rPr>
        <sz val="10"/>
        <color theme="1"/>
        <rFont val="Arial"/>
        <family val="2"/>
      </rPr>
      <t>What is the Applicant's ELI Set-Aside Commitment?........................................................................................................</t>
    </r>
  </si>
  <si>
    <r>
      <rPr>
        <b/>
        <sz val="10"/>
        <color theme="1"/>
        <rFont val="Arial"/>
        <family val="2"/>
      </rPr>
      <t>6.</t>
    </r>
    <r>
      <rPr>
        <sz val="10"/>
        <color theme="1"/>
        <rFont val="Arial"/>
        <family val="2"/>
      </rPr>
      <t xml:space="preserve"> What is the maximum ELI Set-Aside to be funded with SAIL-ELI (% of Total Units)?.................................................</t>
    </r>
  </si>
  <si>
    <t>% of Proposed Units</t>
  </si>
  <si>
    <t>(This unit type is not allowed in RFA 2020-103)</t>
  </si>
  <si>
    <r>
      <t>(</t>
    </r>
    <r>
      <rPr>
        <i/>
        <sz val="10"/>
        <color theme="2" tint="-0.499984740745262"/>
        <rFont val="Calibri"/>
        <family val="2"/>
      </rPr>
      <t>§</t>
    </r>
    <r>
      <rPr>
        <i/>
        <sz val="9"/>
        <color theme="2" tint="-0.499984740745262"/>
        <rFont val="Arial"/>
        <family val="2"/>
      </rPr>
      <t xml:space="preserve"> Four, A, 5. a.)</t>
    </r>
  </si>
  <si>
    <r>
      <t>(</t>
    </r>
    <r>
      <rPr>
        <i/>
        <sz val="10"/>
        <color theme="2" tint="-0.499984740745262"/>
        <rFont val="Calibri"/>
        <family val="2"/>
      </rPr>
      <t>§</t>
    </r>
    <r>
      <rPr>
        <i/>
        <sz val="9"/>
        <color theme="2" tint="-0.499984740745262"/>
        <rFont val="Arial"/>
        <family val="2"/>
      </rPr>
      <t xml:space="preserve"> Four, A. 4. c. &amp; d.)</t>
    </r>
  </si>
  <si>
    <r>
      <t>(</t>
    </r>
    <r>
      <rPr>
        <i/>
        <sz val="10"/>
        <color theme="2" tint="-0.499984740745262"/>
        <rFont val="Calibri"/>
        <family val="2"/>
      </rPr>
      <t>§</t>
    </r>
    <r>
      <rPr>
        <i/>
        <sz val="9"/>
        <color theme="2" tint="-0.499984740745262"/>
        <rFont val="Arial"/>
        <family val="2"/>
      </rPr>
      <t xml:space="preserve"> Four, A. 6. d. (1))</t>
    </r>
  </si>
  <si>
    <r>
      <t>(</t>
    </r>
    <r>
      <rPr>
        <i/>
        <sz val="10"/>
        <color theme="2" tint="-0.499984740745262"/>
        <rFont val="Calibri"/>
        <family val="2"/>
      </rPr>
      <t>§</t>
    </r>
    <r>
      <rPr>
        <i/>
        <sz val="9"/>
        <color theme="2" tint="-0.499984740745262"/>
        <rFont val="Arial"/>
        <family val="2"/>
      </rPr>
      <t xml:space="preserve"> Four, A, 10. a. (2) (b))</t>
    </r>
  </si>
  <si>
    <t>RFA 2020-103</t>
  </si>
  <si>
    <r>
      <rPr>
        <b/>
        <sz val="10"/>
        <color theme="1"/>
        <rFont val="Arial"/>
        <family val="2"/>
      </rPr>
      <t>7.</t>
    </r>
    <r>
      <rPr>
        <sz val="10"/>
        <color theme="1"/>
        <rFont val="Arial"/>
        <family val="2"/>
      </rPr>
      <t xml:space="preserve"> Is the proposed Development 100% New Construction?....................................................................................................</t>
    </r>
  </si>
  <si>
    <r>
      <rPr>
        <b/>
        <u/>
        <sz val="10"/>
        <color theme="1"/>
        <rFont val="Arial"/>
        <family val="2"/>
      </rPr>
      <t>Instructions:</t>
    </r>
    <r>
      <rPr>
        <sz val="10"/>
        <color theme="1"/>
        <rFont val="Arial"/>
        <family val="2"/>
      </rPr>
      <t xml:space="preserve">  Please select the appropriate county at question 1 below from its drop-down menu then select the Construction Type and ESSC status of the proposed Development at question 3 from its drop-down menu.  This RFA provides ELI loan funding for up to 5% of the total units, rounded up to the next whole number if Average Income Test is NOT chosen as the IRS Minimum Set-Aside Commitment.  Select the minimum IRS Set-Aside Commitment at question 4 from its drop-down menu.  Input the proposed Development's ELI Set-Aside Commitment at question 5 and answer question 7 from its drop-down menu.  
Input the number of Units the proposed Development will have in Column B of the table below, separated by how many bedrooms are in each of the proposed Units.  The Column D formula is set-up to provide the correct overall ELI Unit distribution based on the Applicant's ELI Set-Aside commitment </t>
    </r>
    <r>
      <rPr>
        <i/>
        <sz val="10"/>
        <color theme="1"/>
        <rFont val="Arial"/>
        <family val="2"/>
      </rPr>
      <t>(the response to question 5)</t>
    </r>
    <r>
      <rPr>
        <sz val="10"/>
        <color theme="1"/>
        <rFont val="Arial"/>
        <family val="2"/>
      </rPr>
      <t xml:space="preserve"> while Column E will provide the correct number of ELI Unit distribution for those ELI Units being funded with the ELI loan funding (based on question 6).  The amount for the total in Column G provides the Applicant with the maximum ELI loan funding allowable in the RFA.  This information can be used by the Applicant to determine how much ELI loan funding to request </t>
    </r>
    <r>
      <rPr>
        <i/>
        <sz val="10"/>
        <color theme="1"/>
        <rFont val="Arial"/>
        <family val="2"/>
      </rPr>
      <t>(at or below the maximum allowed in the RFA)</t>
    </r>
    <r>
      <rPr>
        <sz val="10"/>
        <color theme="1"/>
        <rFont val="Arial"/>
        <family val="2"/>
      </rPr>
      <t>.</t>
    </r>
  </si>
  <si>
    <t xml:space="preserve">The table below is intended to assist an Applicant in RFA 2020-103 to determine the maximum amount of an ELI Loan that may be requested in its Application based on the proposed Unit mix as well as the estimated NHTF Loan Amount.  The ELI Loan amount is based on distributing the ELI Units pro-rata across the entire Unit mix, up to the specific maximum identified in the RFA, rounding up to a whole number of units, and then applying the relative per unit ELI Loan limitations to each ELI Unit.  If the Appllicant chooses to receive NHTF funding, the NHTF Loan amount is based on a proposed Development consisting of 100% new construction and having 4 NHTF units if located in a Large County and 3 NHTF units if located in a Medium County.  </t>
  </si>
  <si>
    <t>If the proposed Development qualifies for an NHTF Loan award and assuming the Applicant has indicated it wants NHTF funding, this worksheet will calculate an estimated minimum amount based on answers to questions 1, 3 and 7 below.  Assuming the proposed Development is 100% new construction, the template will calculate the estimated NHTF Loan Amount based on 4 NHTF units if located in a Large County and 3 NHTF units if located in a Medium County.  Proposed Developments that are not 100% new construction are will indicate NHTF Loan funding is not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</si>
</sst>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16" x14ac:knownFonts="1">
    <font>
      <sz val="10"/>
      <color theme="1"/>
      <name val="Arial"/>
      <family val="2"/>
    </font>
    <font>
      <sz val="10"/>
      <color theme="1"/>
      <name val="Arial"/>
      <family val="2"/>
    </font>
    <font>
      <b/>
      <sz val="10"/>
      <color theme="1"/>
      <name val="Arial"/>
      <family val="2"/>
    </font>
    <font>
      <b/>
      <u/>
      <sz val="10"/>
      <color theme="1"/>
      <name val="Arial"/>
      <family val="2"/>
    </font>
    <font>
      <sz val="10"/>
      <color rgb="FF0000FF"/>
      <name val="Arial"/>
      <family val="2"/>
    </font>
    <font>
      <sz val="9"/>
      <color theme="1"/>
      <name val="Arial"/>
      <family val="2"/>
    </font>
    <font>
      <b/>
      <u/>
      <sz val="11"/>
      <color theme="1"/>
      <name val="Arial"/>
      <family val="2"/>
    </font>
    <font>
      <i/>
      <sz val="9"/>
      <color theme="1"/>
      <name val="Arial"/>
      <family val="2"/>
    </font>
    <font>
      <i/>
      <sz val="10"/>
      <color theme="1"/>
      <name val="Arial"/>
      <family val="2"/>
    </font>
    <font>
      <sz val="10"/>
      <color theme="0"/>
      <name val="Arial"/>
      <family val="2"/>
    </font>
    <font>
      <sz val="10"/>
      <name val="Arial"/>
      <family val="2"/>
    </font>
    <font>
      <b/>
      <i/>
      <sz val="12"/>
      <color theme="1"/>
      <name val="Arial"/>
      <family val="2"/>
    </font>
    <font>
      <b/>
      <sz val="10"/>
      <color rgb="FF7030A0"/>
      <name val="Arial"/>
      <family val="2"/>
    </font>
    <font>
      <i/>
      <sz val="10"/>
      <color theme="2" tint="-0.499984740745262"/>
      <name val="Arial"/>
      <family val="2"/>
    </font>
    <font>
      <i/>
      <sz val="10"/>
      <color theme="2" tint="-0.499984740745262"/>
      <name val="Calibri"/>
      <family val="2"/>
    </font>
    <font>
      <i/>
      <sz val="9"/>
      <color theme="2" tint="-0.499984740745262"/>
      <name val="Arial"/>
      <family val="2"/>
    </font>
  </fonts>
  <fills count="9">
    <fill>
      <patternFill patternType="none"/>
    </fill>
    <fill>
      <patternFill patternType="gray125"/>
    </fill>
    <fill>
      <patternFill patternType="solid">
        <fgColor theme="0"/>
        <bgColor indexed="64"/>
      </patternFill>
    </fill>
    <fill>
      <patternFill patternType="mediumGray">
        <fgColor theme="0"/>
        <bgColor rgb="FFFFFFCC"/>
      </patternFill>
    </fill>
    <fill>
      <patternFill patternType="solid">
        <fgColor theme="0"/>
        <bgColor theme="0" tint="-0.24994659260841701"/>
      </patternFill>
    </fill>
    <fill>
      <patternFill patternType="solid">
        <fgColor indexed="65"/>
        <bgColor theme="0" tint="-0.24994659260841701"/>
      </patternFill>
    </fill>
    <fill>
      <patternFill patternType="solid">
        <fgColor indexed="65"/>
        <bgColor indexed="64"/>
      </patternFill>
    </fill>
    <fill>
      <patternFill patternType="solid">
        <fgColor rgb="FFEFFFEF"/>
        <bgColor indexed="64"/>
      </patternFill>
    </fill>
    <fill>
      <patternFill patternType="solid">
        <fgColor theme="0"/>
        <bgColor auto="1"/>
      </patternFill>
    </fill>
  </fills>
  <borders count="55">
    <border>
      <left/>
      <right/>
      <top/>
      <bottom/>
      <diagonal/>
    </border>
    <border>
      <left/>
      <right/>
      <top/>
      <bottom style="thin">
        <color rgb="FF0000FF"/>
      </bottom>
      <diagonal/>
    </border>
    <border>
      <left/>
      <right/>
      <top style="thin">
        <color rgb="FF0000FF"/>
      </top>
      <bottom style="thin">
        <color theme="1"/>
      </bottom>
      <diagonal/>
    </border>
    <border>
      <left style="medium">
        <color theme="1"/>
      </left>
      <right style="hair">
        <color theme="1"/>
      </right>
      <top style="medium">
        <color theme="1"/>
      </top>
      <bottom style="thin">
        <color theme="1"/>
      </bottom>
      <diagonal/>
    </border>
    <border>
      <left style="hair">
        <color theme="1"/>
      </left>
      <right style="hair">
        <color theme="1"/>
      </right>
      <top style="medium">
        <color theme="1"/>
      </top>
      <bottom style="thin">
        <color theme="1"/>
      </bottom>
      <diagonal/>
    </border>
    <border>
      <left style="hair">
        <color theme="1"/>
      </left>
      <right style="medium">
        <color theme="1"/>
      </right>
      <top style="medium">
        <color theme="1"/>
      </top>
      <bottom style="thin">
        <color theme="1"/>
      </bottom>
      <diagonal/>
    </border>
    <border>
      <left style="medium">
        <color theme="1"/>
      </left>
      <right style="hair">
        <color theme="1"/>
      </right>
      <top/>
      <bottom/>
      <diagonal/>
    </border>
    <border>
      <left style="hair">
        <color theme="1"/>
      </left>
      <right style="hair">
        <color theme="1"/>
      </right>
      <top/>
      <bottom/>
      <diagonal/>
    </border>
    <border>
      <left style="hair">
        <color theme="1"/>
      </left>
      <right style="medium">
        <color theme="1"/>
      </right>
      <top/>
      <bottom/>
      <diagonal/>
    </border>
    <border>
      <left style="medium">
        <color theme="1"/>
      </left>
      <right style="hair">
        <color theme="1"/>
      </right>
      <top/>
      <bottom style="hair">
        <color theme="1"/>
      </bottom>
      <diagonal/>
    </border>
    <border>
      <left style="hair">
        <color theme="1"/>
      </left>
      <right style="hair">
        <color theme="1"/>
      </right>
      <top/>
      <bottom style="hair">
        <color theme="1"/>
      </bottom>
      <diagonal/>
    </border>
    <border>
      <left style="hair">
        <color theme="1"/>
      </left>
      <right style="medium">
        <color theme="1"/>
      </right>
      <top/>
      <bottom style="hair">
        <color theme="1"/>
      </bottom>
      <diagonal/>
    </border>
    <border>
      <left style="medium">
        <color theme="1"/>
      </left>
      <right style="hair">
        <color theme="1"/>
      </right>
      <top style="hair">
        <color theme="1"/>
      </top>
      <bottom style="hair">
        <color theme="1"/>
      </bottom>
      <diagonal/>
    </border>
    <border>
      <left style="hair">
        <color theme="1"/>
      </left>
      <right style="hair">
        <color theme="1"/>
      </right>
      <top style="hair">
        <color theme="1"/>
      </top>
      <bottom style="hair">
        <color theme="1"/>
      </bottom>
      <diagonal/>
    </border>
    <border>
      <left style="medium">
        <color theme="1"/>
      </left>
      <right style="hair">
        <color theme="1"/>
      </right>
      <top/>
      <bottom style="double">
        <color theme="1"/>
      </bottom>
      <diagonal/>
    </border>
    <border>
      <left style="hair">
        <color theme="1"/>
      </left>
      <right style="hair">
        <color theme="1"/>
      </right>
      <top/>
      <bottom style="double">
        <color theme="1"/>
      </bottom>
      <diagonal/>
    </border>
    <border>
      <left style="hair">
        <color theme="1"/>
      </left>
      <right style="medium">
        <color theme="1"/>
      </right>
      <top/>
      <bottom style="double">
        <color theme="1"/>
      </bottom>
      <diagonal/>
    </border>
    <border>
      <left style="medium">
        <color theme="1"/>
      </left>
      <right style="hair">
        <color theme="1"/>
      </right>
      <top/>
      <bottom style="medium">
        <color theme="1"/>
      </bottom>
      <diagonal/>
    </border>
    <border>
      <left style="hair">
        <color theme="1"/>
      </left>
      <right style="hair">
        <color theme="1"/>
      </right>
      <top/>
      <bottom style="medium">
        <color theme="1"/>
      </bottom>
      <diagonal/>
    </border>
    <border>
      <left style="hair">
        <color theme="1"/>
      </left>
      <right style="hair">
        <color theme="1"/>
      </right>
      <top style="medium">
        <color theme="1"/>
      </top>
      <bottom/>
      <diagonal/>
    </border>
    <border>
      <left style="hair">
        <color theme="1"/>
      </left>
      <right/>
      <top/>
      <bottom style="medium">
        <color theme="1"/>
      </bottom>
      <diagonal/>
    </border>
    <border>
      <left style="double">
        <color theme="1"/>
      </left>
      <right style="double">
        <color theme="1"/>
      </right>
      <top/>
      <bottom/>
      <diagonal/>
    </border>
    <border>
      <left style="double">
        <color theme="1"/>
      </left>
      <right style="double">
        <color theme="1"/>
      </right>
      <top/>
      <bottom style="double">
        <color theme="1"/>
      </bottom>
      <diagonal/>
    </border>
    <border>
      <left style="double">
        <color theme="1"/>
      </left>
      <right style="double">
        <color theme="1"/>
      </right>
      <top style="double">
        <color theme="1"/>
      </top>
      <bottom style="medium">
        <color theme="1"/>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top/>
      <bottom style="hair">
        <color theme="1"/>
      </bottom>
      <diagonal/>
    </border>
    <border>
      <left/>
      <right/>
      <top/>
      <bottom style="hair">
        <color theme="1"/>
      </bottom>
      <diagonal/>
    </border>
    <border>
      <left/>
      <right style="medium">
        <color theme="1"/>
      </right>
      <top/>
      <bottom style="hair">
        <color theme="1"/>
      </bottom>
      <diagonal/>
    </border>
    <border>
      <left style="medium">
        <color theme="1"/>
      </left>
      <right/>
      <top style="hair">
        <color theme="1"/>
      </top>
      <bottom style="hair">
        <color theme="1"/>
      </bottom>
      <diagonal/>
    </border>
    <border>
      <left/>
      <right/>
      <top style="hair">
        <color theme="1"/>
      </top>
      <bottom style="hair">
        <color theme="1"/>
      </bottom>
      <diagonal/>
    </border>
    <border>
      <left/>
      <right style="medium">
        <color theme="1"/>
      </right>
      <top style="hair">
        <color theme="1"/>
      </top>
      <bottom style="hair">
        <color theme="1"/>
      </bottom>
      <diagonal/>
    </border>
    <border>
      <left style="medium">
        <color theme="1"/>
      </left>
      <right/>
      <top style="hair">
        <color theme="1"/>
      </top>
      <bottom style="thin">
        <color theme="1"/>
      </bottom>
      <diagonal/>
    </border>
    <border>
      <left/>
      <right/>
      <top style="hair">
        <color theme="1"/>
      </top>
      <bottom style="thin">
        <color theme="1"/>
      </bottom>
      <diagonal/>
    </border>
    <border>
      <left/>
      <right style="medium">
        <color theme="1"/>
      </right>
      <top style="hair">
        <color theme="1"/>
      </top>
      <bottom style="thin">
        <color theme="1"/>
      </bottom>
      <diagonal/>
    </border>
    <border>
      <left/>
      <right/>
      <top/>
      <bottom style="thin">
        <color theme="1"/>
      </bottom>
      <diagonal/>
    </border>
    <border>
      <left/>
      <right/>
      <top style="thin">
        <color theme="1"/>
      </top>
      <bottom style="thin">
        <color rgb="FF0000FF"/>
      </bottom>
      <diagonal/>
    </border>
    <border>
      <left style="medium">
        <color theme="1"/>
      </left>
      <right style="medium">
        <color theme="1"/>
      </right>
      <top style="medium">
        <color theme="1"/>
      </top>
      <bottom style="medium">
        <color theme="1"/>
      </bottom>
      <diagonal/>
    </border>
    <border>
      <left style="medium">
        <color theme="1"/>
      </left>
      <right style="medium">
        <color theme="1"/>
      </right>
      <top/>
      <bottom/>
      <diagonal/>
    </border>
    <border>
      <left style="medium">
        <color theme="1"/>
      </left>
      <right style="medium">
        <color theme="1"/>
      </right>
      <top/>
      <bottom style="hair">
        <color theme="1"/>
      </bottom>
      <diagonal/>
    </border>
    <border>
      <left style="medium">
        <color theme="1"/>
      </left>
      <right style="medium">
        <color theme="1"/>
      </right>
      <top style="hair">
        <color theme="1"/>
      </top>
      <bottom style="hair">
        <color theme="1"/>
      </bottom>
      <diagonal/>
    </border>
    <border>
      <left style="medium">
        <color theme="1"/>
      </left>
      <right style="medium">
        <color theme="1"/>
      </right>
      <top style="hair">
        <color theme="1"/>
      </top>
      <bottom style="thin">
        <color theme="1"/>
      </bottom>
      <diagonal/>
    </border>
    <border>
      <left style="medium">
        <color theme="1"/>
      </left>
      <right style="medium">
        <color theme="1"/>
      </right>
      <top/>
      <bottom style="medium">
        <color theme="1"/>
      </bottom>
      <diagonal/>
    </border>
    <border>
      <left/>
      <right style="double">
        <color theme="1"/>
      </right>
      <top style="medium">
        <color theme="1"/>
      </top>
      <bottom/>
      <diagonal/>
    </border>
    <border>
      <left/>
      <right style="double">
        <color theme="1"/>
      </right>
      <top/>
      <bottom/>
      <diagonal/>
    </border>
    <border>
      <left style="medium">
        <color theme="1"/>
      </left>
      <right style="medium">
        <color theme="1"/>
      </right>
      <top style="hair">
        <color theme="1"/>
      </top>
      <bottom style="medium">
        <color theme="1"/>
      </bottom>
      <diagonal/>
    </border>
    <border>
      <left style="medium">
        <color theme="1"/>
      </left>
      <right style="medium">
        <color theme="1"/>
      </right>
      <top style="hair">
        <color theme="1"/>
      </top>
      <bottom style="double">
        <color theme="1"/>
      </bottom>
      <diagonal/>
    </border>
    <border>
      <left style="medium">
        <color theme="1"/>
      </left>
      <right style="medium">
        <color theme="1"/>
      </right>
      <top style="medium">
        <color theme="1"/>
      </top>
      <bottom style="thin">
        <color theme="1"/>
      </bottom>
      <diagonal/>
    </border>
    <border>
      <left style="double">
        <color theme="1"/>
      </left>
      <right style="medium">
        <color theme="1"/>
      </right>
      <top style="double">
        <color theme="1"/>
      </top>
      <bottom style="medium">
        <color theme="1"/>
      </bottom>
      <diagonal/>
    </border>
  </borders>
  <cellStyleXfs count="2">
    <xf numFmtId="0" fontId="0" fillId="0" borderId="0"/>
    <xf numFmtId="9" fontId="1" fillId="0" borderId="0" applyFont="0" applyFill="0" applyBorder="0" applyAlignment="0" applyProtection="0"/>
  </cellStyleXfs>
  <cellXfs count="108">
    <xf numFmtId="0" fontId="0" fillId="0" borderId="0" xfId="0"/>
    <xf numFmtId="0" fontId="2" fillId="2" borderId="0" xfId="0" applyFont="1" applyFill="1" applyAlignment="1">
      <alignment horizontal="center" vertical="center"/>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2" fillId="4" borderId="4" xfId="0" applyFont="1" applyFill="1" applyBorder="1" applyAlignment="1">
      <alignment horizontal="center" wrapText="1"/>
    </xf>
    <xf numFmtId="0" fontId="4" fillId="2" borderId="7" xfId="0" applyFont="1" applyFill="1" applyBorder="1" applyAlignment="1">
      <alignment horizontal="right" vertical="center" indent="1"/>
    </xf>
    <xf numFmtId="0" fontId="4" fillId="0" borderId="15" xfId="0" applyFont="1" applyBorder="1" applyAlignment="1">
      <alignment horizontal="right" vertical="center" indent="1"/>
    </xf>
    <xf numFmtId="0" fontId="2" fillId="0" borderId="17" xfId="0" applyFont="1" applyBorder="1" applyAlignment="1">
      <alignment horizontal="center" vertical="center"/>
    </xf>
    <xf numFmtId="9" fontId="0" fillId="2" borderId="27" xfId="1" applyFont="1" applyFill="1" applyBorder="1" applyAlignment="1">
      <alignment horizontal="center" vertical="center"/>
    </xf>
    <xf numFmtId="9" fontId="0" fillId="2" borderId="33" xfId="1" applyFont="1" applyFill="1" applyBorder="1" applyAlignment="1">
      <alignment horizontal="center" vertical="center"/>
    </xf>
    <xf numFmtId="9" fontId="0" fillId="2" borderId="36" xfId="1" applyFont="1" applyFill="1" applyBorder="1" applyAlignment="1">
      <alignment horizontal="center" vertical="center"/>
    </xf>
    <xf numFmtId="9" fontId="0" fillId="2" borderId="39" xfId="1" applyFont="1" applyFill="1" applyBorder="1" applyAlignment="1">
      <alignment horizontal="center" vertical="center"/>
    </xf>
    <xf numFmtId="0" fontId="2" fillId="2" borderId="0" xfId="0" applyFont="1" applyFill="1"/>
    <xf numFmtId="0" fontId="0" fillId="0" borderId="0" xfId="0" applyFont="1"/>
    <xf numFmtId="0" fontId="0" fillId="2" borderId="0" xfId="0" applyFont="1" applyFill="1"/>
    <xf numFmtId="0" fontId="0" fillId="2" borderId="0" xfId="0" applyFont="1" applyFill="1" applyAlignment="1">
      <alignment horizontal="right"/>
    </xf>
    <xf numFmtId="0" fontId="0" fillId="2" borderId="6" xfId="0" applyFont="1" applyFill="1" applyBorder="1" applyAlignment="1">
      <alignment horizontal="center" vertical="center"/>
    </xf>
    <xf numFmtId="0" fontId="0" fillId="2" borderId="7" xfId="0" applyFont="1" applyFill="1" applyBorder="1" applyAlignment="1">
      <alignment vertical="center"/>
    </xf>
    <xf numFmtId="0" fontId="0" fillId="2" borderId="7" xfId="0" applyFont="1" applyFill="1" applyBorder="1" applyAlignment="1">
      <alignment horizontal="right" vertical="center"/>
    </xf>
    <xf numFmtId="0" fontId="0" fillId="0" borderId="9" xfId="0" applyFont="1" applyBorder="1" applyAlignment="1">
      <alignment horizontal="center" vertical="center"/>
    </xf>
    <xf numFmtId="38" fontId="0" fillId="0" borderId="10" xfId="0" applyNumberFormat="1" applyFont="1" applyBorder="1" applyAlignment="1">
      <alignment horizontal="right" vertical="center" indent="2"/>
    </xf>
    <xf numFmtId="38" fontId="0" fillId="5" borderId="10" xfId="0" applyNumberFormat="1" applyFont="1" applyFill="1" applyBorder="1" applyAlignment="1">
      <alignment horizontal="right" vertical="center" indent="2"/>
    </xf>
    <xf numFmtId="6" fontId="0" fillId="0" borderId="10" xfId="0" applyNumberFormat="1" applyFont="1" applyBorder="1" applyAlignment="1">
      <alignment horizontal="right" vertical="center" indent="1"/>
    </xf>
    <xf numFmtId="0" fontId="0" fillId="0" borderId="12" xfId="0" applyFont="1" applyBorder="1" applyAlignment="1">
      <alignment horizontal="center" vertical="center"/>
    </xf>
    <xf numFmtId="38" fontId="0" fillId="0" borderId="13" xfId="0" applyNumberFormat="1" applyFont="1" applyBorder="1" applyAlignment="1">
      <alignment horizontal="right" vertical="center" indent="2"/>
    </xf>
    <xf numFmtId="6" fontId="0" fillId="0" borderId="13" xfId="0" applyNumberFormat="1" applyFont="1" applyBorder="1" applyAlignment="1">
      <alignment horizontal="right" vertical="center" indent="1"/>
    </xf>
    <xf numFmtId="0" fontId="0" fillId="0" borderId="14" xfId="0" applyFont="1" applyBorder="1" applyAlignment="1">
      <alignment horizontal="center" vertical="center"/>
    </xf>
    <xf numFmtId="0" fontId="0" fillId="0" borderId="15" xfId="0" applyFont="1" applyBorder="1" applyAlignment="1">
      <alignment horizontal="right" vertical="center" indent="2"/>
    </xf>
    <xf numFmtId="0" fontId="0" fillId="6" borderId="15" xfId="0" applyFont="1" applyFill="1" applyBorder="1" applyAlignment="1">
      <alignment horizontal="right" vertical="center" indent="2"/>
    </xf>
    <xf numFmtId="6" fontId="0" fillId="0" borderId="15" xfId="0" applyNumberFormat="1" applyFont="1" applyBorder="1" applyAlignment="1">
      <alignment horizontal="right" vertical="center" indent="1"/>
    </xf>
    <xf numFmtId="38" fontId="0" fillId="0" borderId="18" xfId="0" applyNumberFormat="1" applyFont="1" applyBorder="1" applyAlignment="1">
      <alignment horizontal="right" vertical="center" indent="2"/>
    </xf>
    <xf numFmtId="6" fontId="0" fillId="0" borderId="20" xfId="0" applyNumberFormat="1" applyFont="1" applyBorder="1" applyAlignment="1">
      <alignment horizontal="right" vertical="center" indent="1"/>
    </xf>
    <xf numFmtId="0" fontId="0" fillId="2" borderId="0" xfId="0" applyFont="1" applyFill="1" applyAlignment="1">
      <alignment vertical="center" wrapText="1"/>
    </xf>
    <xf numFmtId="0" fontId="2" fillId="2" borderId="29" xfId="0" applyFont="1" applyFill="1" applyBorder="1" applyAlignment="1">
      <alignment horizontal="left" indent="1"/>
    </xf>
    <xf numFmtId="0" fontId="2" fillId="2" borderId="30" xfId="0" applyFont="1" applyFill="1" applyBorder="1" applyAlignment="1">
      <alignment horizontal="center" wrapText="1"/>
    </xf>
    <xf numFmtId="0" fontId="2" fillId="2" borderId="31" xfId="0" applyFont="1" applyFill="1" applyBorder="1" applyAlignment="1">
      <alignment horizontal="center" wrapText="1"/>
    </xf>
    <xf numFmtId="0" fontId="2" fillId="2" borderId="0" xfId="0" applyFont="1" applyFill="1" applyBorder="1" applyAlignment="1">
      <alignment horizontal="center" wrapText="1"/>
    </xf>
    <xf numFmtId="0" fontId="2" fillId="2" borderId="25" xfId="0" applyFont="1" applyFill="1" applyBorder="1" applyAlignment="1">
      <alignment horizontal="center" wrapText="1"/>
    </xf>
    <xf numFmtId="0" fontId="0" fillId="2" borderId="32" xfId="0" applyFont="1" applyFill="1" applyBorder="1" applyAlignment="1">
      <alignment horizontal="left" vertical="center" indent="1"/>
    </xf>
    <xf numFmtId="6" fontId="0" fillId="2" borderId="33" xfId="0" applyNumberFormat="1" applyFont="1" applyFill="1" applyBorder="1" applyAlignment="1">
      <alignment horizontal="center" vertical="center"/>
    </xf>
    <xf numFmtId="6" fontId="0" fillId="2" borderId="34" xfId="0" applyNumberFormat="1" applyFont="1" applyFill="1" applyBorder="1" applyAlignment="1">
      <alignment horizontal="center" vertical="center"/>
    </xf>
    <xf numFmtId="0" fontId="0" fillId="2" borderId="35" xfId="0" applyFont="1" applyFill="1" applyBorder="1" applyAlignment="1">
      <alignment horizontal="left" vertical="center" indent="1"/>
    </xf>
    <xf numFmtId="6" fontId="0" fillId="2" borderId="36" xfId="0" applyNumberFormat="1" applyFont="1" applyFill="1" applyBorder="1" applyAlignment="1">
      <alignment horizontal="center" vertical="center"/>
    </xf>
    <xf numFmtId="6" fontId="0" fillId="2" borderId="37" xfId="0" applyNumberFormat="1" applyFont="1" applyFill="1" applyBorder="1" applyAlignment="1">
      <alignment horizontal="center" vertical="center"/>
    </xf>
    <xf numFmtId="0" fontId="0" fillId="2" borderId="38" xfId="0" applyFont="1" applyFill="1" applyBorder="1" applyAlignment="1">
      <alignment horizontal="left" vertical="center" indent="1"/>
    </xf>
    <xf numFmtId="6" fontId="0" fillId="2" borderId="39" xfId="0" applyNumberFormat="1" applyFont="1" applyFill="1" applyBorder="1" applyAlignment="1">
      <alignment horizontal="center" vertical="center"/>
    </xf>
    <xf numFmtId="6" fontId="0" fillId="2" borderId="40" xfId="0" applyNumberFormat="1" applyFont="1" applyFill="1" applyBorder="1" applyAlignment="1">
      <alignment horizontal="center" vertical="center"/>
    </xf>
    <xf numFmtId="0" fontId="0" fillId="2" borderId="26" xfId="0" applyFont="1" applyFill="1" applyBorder="1" applyAlignment="1">
      <alignment horizontal="left" vertical="center" indent="1"/>
    </xf>
    <xf numFmtId="6" fontId="0" fillId="2" borderId="27" xfId="0" applyNumberFormat="1" applyFont="1" applyFill="1" applyBorder="1" applyAlignment="1">
      <alignment horizontal="center" vertical="center"/>
    </xf>
    <xf numFmtId="6" fontId="0" fillId="2" borderId="28" xfId="0" applyNumberFormat="1" applyFont="1" applyFill="1" applyBorder="1" applyAlignment="1">
      <alignment horizontal="center" vertical="center"/>
    </xf>
    <xf numFmtId="0" fontId="2" fillId="7" borderId="5" xfId="0" applyFont="1" applyFill="1" applyBorder="1" applyAlignment="1">
      <alignment horizontal="center" wrapText="1"/>
    </xf>
    <xf numFmtId="0" fontId="2" fillId="7" borderId="8" xfId="0" applyFont="1" applyFill="1" applyBorder="1" applyAlignment="1">
      <alignment vertical="center"/>
    </xf>
    <xf numFmtId="6" fontId="2" fillId="7" borderId="11" xfId="0" applyNumberFormat="1" applyFont="1" applyFill="1" applyBorder="1" applyAlignment="1">
      <alignment horizontal="right" vertical="center" indent="1"/>
    </xf>
    <xf numFmtId="6" fontId="2" fillId="7" borderId="16" xfId="0" applyNumberFormat="1" applyFont="1" applyFill="1" applyBorder="1" applyAlignment="1">
      <alignment horizontal="right" vertical="center" indent="1"/>
    </xf>
    <xf numFmtId="6" fontId="2" fillId="7" borderId="23" xfId="0" applyNumberFormat="1" applyFont="1" applyFill="1" applyBorder="1" applyAlignment="1">
      <alignment horizontal="right" vertical="center" indent="1"/>
    </xf>
    <xf numFmtId="38" fontId="2" fillId="0" borderId="18" xfId="0" applyNumberFormat="1" applyFont="1" applyBorder="1" applyAlignment="1">
      <alignment horizontal="right" vertical="center" indent="1"/>
    </xf>
    <xf numFmtId="0" fontId="9" fillId="2" borderId="24" xfId="0" applyFont="1" applyFill="1" applyBorder="1" applyAlignment="1">
      <alignment horizontal="left" indent="1"/>
    </xf>
    <xf numFmtId="0" fontId="4" fillId="3" borderId="1" xfId="0" applyFont="1" applyFill="1" applyBorder="1" applyAlignment="1" applyProtection="1">
      <alignment horizontal="center" vertical="center"/>
      <protection locked="0"/>
    </xf>
    <xf numFmtId="9" fontId="4" fillId="3" borderId="42" xfId="0" applyNumberFormat="1" applyFont="1" applyFill="1" applyBorder="1" applyAlignment="1" applyProtection="1">
      <alignment horizontal="center" vertical="center"/>
      <protection locked="0"/>
    </xf>
    <xf numFmtId="38" fontId="4" fillId="3" borderId="10" xfId="0" applyNumberFormat="1" applyFont="1" applyFill="1" applyBorder="1" applyAlignment="1" applyProtection="1">
      <alignment horizontal="right" vertical="center" indent="1"/>
      <protection locked="0"/>
    </xf>
    <xf numFmtId="38" fontId="4" fillId="3" borderId="13" xfId="0" applyNumberFormat="1" applyFont="1" applyFill="1" applyBorder="1" applyAlignment="1" applyProtection="1">
      <alignment horizontal="right" vertical="center" indent="1"/>
      <protection locked="0"/>
    </xf>
    <xf numFmtId="0" fontId="2" fillId="2" borderId="43" xfId="0" applyFont="1" applyFill="1" applyBorder="1" applyAlignment="1">
      <alignment horizontal="center" wrapText="1"/>
    </xf>
    <xf numFmtId="0" fontId="2" fillId="2" borderId="44" xfId="0" applyFont="1" applyFill="1" applyBorder="1" applyAlignment="1">
      <alignment horizontal="center" wrapText="1"/>
    </xf>
    <xf numFmtId="6" fontId="0" fillId="2" borderId="45" xfId="0" applyNumberFormat="1" applyFont="1" applyFill="1" applyBorder="1" applyAlignment="1">
      <alignment horizontal="center" vertical="center"/>
    </xf>
    <xf numFmtId="6" fontId="0" fillId="2" borderId="46" xfId="0" applyNumberFormat="1" applyFont="1" applyFill="1" applyBorder="1" applyAlignment="1">
      <alignment horizontal="center" vertical="center"/>
    </xf>
    <xf numFmtId="6" fontId="0" fillId="2" borderId="47" xfId="0" applyNumberFormat="1" applyFont="1" applyFill="1" applyBorder="1" applyAlignment="1">
      <alignment horizontal="center" vertical="center"/>
    </xf>
    <xf numFmtId="6" fontId="0" fillId="2" borderId="48" xfId="0" applyNumberFormat="1" applyFont="1" applyFill="1" applyBorder="1" applyAlignment="1">
      <alignment horizontal="center" vertical="center"/>
    </xf>
    <xf numFmtId="0" fontId="0" fillId="2" borderId="0" xfId="0" applyFont="1" applyFill="1" applyBorder="1" applyAlignment="1">
      <alignment horizontal="left" vertical="center" indent="1"/>
    </xf>
    <xf numFmtId="9" fontId="0" fillId="0" borderId="0" xfId="0" applyNumberFormat="1" applyFont="1"/>
    <xf numFmtId="9" fontId="0" fillId="0" borderId="0" xfId="1" applyFont="1" applyAlignment="1">
      <alignment horizontal="center"/>
    </xf>
    <xf numFmtId="0" fontId="0" fillId="2" borderId="0" xfId="0" applyFont="1" applyFill="1" applyAlignment="1">
      <alignment horizontal="left"/>
    </xf>
    <xf numFmtId="0" fontId="0" fillId="0" borderId="0" xfId="0" applyFont="1" applyFill="1" applyBorder="1"/>
    <xf numFmtId="9" fontId="0" fillId="0" borderId="0" xfId="1" applyFont="1" applyFill="1" applyBorder="1" applyAlignment="1">
      <alignment horizontal="center"/>
    </xf>
    <xf numFmtId="0" fontId="0" fillId="0" borderId="0" xfId="0" applyFont="1" applyFill="1" applyBorder="1" applyAlignment="1">
      <alignment horizontal="center"/>
    </xf>
    <xf numFmtId="9" fontId="0" fillId="2" borderId="41" xfId="0" applyNumberFormat="1" applyFont="1" applyFill="1" applyBorder="1" applyAlignment="1">
      <alignment horizontal="center" vertical="center"/>
    </xf>
    <xf numFmtId="6" fontId="0" fillId="2" borderId="51" xfId="0" applyNumberFormat="1" applyFont="1" applyFill="1" applyBorder="1" applyAlignment="1">
      <alignment horizontal="center" vertical="center"/>
    </xf>
    <xf numFmtId="0" fontId="0" fillId="8" borderId="2" xfId="0" applyFont="1" applyFill="1" applyBorder="1" applyAlignment="1" applyProtection="1">
      <alignment horizontal="center" vertical="center"/>
    </xf>
    <xf numFmtId="6" fontId="10" fillId="8" borderId="2" xfId="0" applyNumberFormat="1" applyFont="1" applyFill="1" applyBorder="1" applyAlignment="1" applyProtection="1">
      <alignment horizontal="center" vertical="center"/>
    </xf>
    <xf numFmtId="0" fontId="0" fillId="2" borderId="0" xfId="0" applyFont="1" applyFill="1" applyBorder="1" applyAlignment="1">
      <alignment horizontal="left" vertical="center"/>
    </xf>
    <xf numFmtId="0" fontId="0" fillId="0" borderId="52" xfId="0" applyFont="1" applyBorder="1"/>
    <xf numFmtId="0" fontId="0" fillId="0" borderId="44" xfId="0" applyFont="1" applyBorder="1"/>
    <xf numFmtId="0" fontId="2" fillId="0" borderId="53" xfId="0" applyFont="1" applyBorder="1" applyAlignment="1">
      <alignment horizontal="center"/>
    </xf>
    <xf numFmtId="10" fontId="0" fillId="0" borderId="45" xfId="1" applyNumberFormat="1" applyFont="1" applyBorder="1" applyAlignment="1">
      <alignment horizontal="right" vertical="center" indent="1"/>
    </xf>
    <xf numFmtId="10" fontId="0" fillId="0" borderId="54" xfId="1" applyNumberFormat="1" applyFont="1" applyBorder="1" applyAlignment="1">
      <alignment horizontal="right" vertical="center" indent="1"/>
    </xf>
    <xf numFmtId="0" fontId="13" fillId="0" borderId="0" xfId="0" applyFont="1" applyAlignment="1">
      <alignment horizontal="left" vertical="center"/>
    </xf>
    <xf numFmtId="0" fontId="13" fillId="0" borderId="0" xfId="0" applyFont="1" applyAlignment="1">
      <alignment horizontal="left"/>
    </xf>
    <xf numFmtId="0" fontId="13" fillId="0" borderId="0" xfId="0" quotePrefix="1" applyFont="1" applyAlignment="1">
      <alignment horizontal="left" vertical="center"/>
    </xf>
    <xf numFmtId="0" fontId="0" fillId="0" borderId="0" xfId="0" applyFont="1" applyFill="1" applyBorder="1" applyAlignment="1">
      <alignment horizontal="center" wrapText="1"/>
    </xf>
    <xf numFmtId="6" fontId="0" fillId="0" borderId="41" xfId="0" applyNumberFormat="1" applyFont="1" applyBorder="1" applyAlignment="1">
      <alignment horizontal="center"/>
    </xf>
    <xf numFmtId="0" fontId="0" fillId="2" borderId="0" xfId="0" quotePrefix="1" applyFont="1" applyFill="1" applyBorder="1" applyAlignment="1">
      <alignment horizontal="left" vertical="center" wrapText="1"/>
    </xf>
    <xf numFmtId="0" fontId="7" fillId="2" borderId="24" xfId="0" applyFont="1" applyFill="1" applyBorder="1" applyAlignment="1">
      <alignment horizontal="center" vertical="top" wrapText="1"/>
    </xf>
    <xf numFmtId="0" fontId="7" fillId="2" borderId="0" xfId="0" applyFont="1" applyFill="1" applyAlignment="1">
      <alignment horizontal="center" vertical="top" wrapText="1"/>
    </xf>
    <xf numFmtId="0" fontId="6" fillId="2" borderId="41" xfId="0" applyFont="1" applyFill="1" applyBorder="1" applyAlignment="1">
      <alignment horizontal="center" vertical="center"/>
    </xf>
    <xf numFmtId="0" fontId="2" fillId="2" borderId="41" xfId="0" applyFont="1" applyFill="1" applyBorder="1" applyAlignment="1">
      <alignment horizontal="center" vertical="center" wrapText="1"/>
    </xf>
    <xf numFmtId="0" fontId="11" fillId="2" borderId="0" xfId="0" applyFont="1" applyFill="1" applyAlignment="1">
      <alignment horizontal="center" vertical="center" wrapText="1"/>
    </xf>
    <xf numFmtId="0" fontId="0" fillId="2" borderId="0" xfId="0" quotePrefix="1" applyFont="1" applyFill="1" applyAlignment="1">
      <alignment horizontal="left" vertical="center" wrapText="1"/>
    </xf>
    <xf numFmtId="0" fontId="0" fillId="2" borderId="0" xfId="0" applyFont="1" applyFill="1" applyAlignment="1">
      <alignment horizontal="left" vertical="center" wrapText="1"/>
    </xf>
    <xf numFmtId="0" fontId="0" fillId="2" borderId="0" xfId="0" applyFont="1" applyFill="1" applyBorder="1" applyAlignment="1">
      <alignment horizontal="left" vertical="center" wrapText="1"/>
    </xf>
    <xf numFmtId="0" fontId="2" fillId="7" borderId="21" xfId="0" applyFont="1" applyFill="1" applyBorder="1" applyAlignment="1">
      <alignment horizontal="right" vertical="center" wrapText="1" indent="1"/>
    </xf>
    <xf numFmtId="0" fontId="2" fillId="7" borderId="22" xfId="0" applyFont="1" applyFill="1" applyBorder="1" applyAlignment="1">
      <alignment horizontal="right" vertical="center" wrapText="1" indent="1"/>
    </xf>
    <xf numFmtId="0" fontId="0" fillId="2" borderId="19"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5" fillId="2" borderId="19" xfId="0" applyFont="1" applyFill="1" applyBorder="1" applyAlignment="1">
      <alignment horizontal="center" wrapText="1"/>
    </xf>
    <xf numFmtId="0" fontId="5" fillId="2" borderId="7" xfId="0" applyFont="1" applyFill="1" applyBorder="1" applyAlignment="1">
      <alignment horizontal="center" wrapText="1"/>
    </xf>
    <xf numFmtId="0" fontId="5" fillId="2" borderId="10" xfId="0" applyFont="1" applyFill="1" applyBorder="1" applyAlignment="1">
      <alignment horizontal="center" wrapText="1"/>
    </xf>
    <xf numFmtId="0" fontId="12" fillId="2" borderId="49" xfId="0" applyFont="1" applyFill="1" applyBorder="1" applyAlignment="1">
      <alignment horizontal="right" vertical="top" wrapText="1"/>
    </xf>
    <xf numFmtId="0" fontId="12" fillId="2" borderId="50" xfId="0" applyFont="1" applyFill="1" applyBorder="1" applyAlignment="1">
      <alignment horizontal="right" vertical="top" wrapText="1"/>
    </xf>
  </cellXfs>
  <cellStyles count="2">
    <cellStyle name="Normal" xfId="0" builtinId="0"/>
    <cellStyle name="Percent" xfId="1" builtinId="5"/>
  </cellStyles>
  <dxfs count="14">
    <dxf>
      <font>
        <color rgb="FFFF0000"/>
      </font>
    </dxf>
    <dxf>
      <font>
        <color rgb="FFFF0000"/>
      </font>
    </dxf>
    <dxf>
      <font>
        <color rgb="FFFF0000"/>
      </font>
    </dxf>
    <dxf>
      <font>
        <color rgb="FFFF0000"/>
      </font>
    </dxf>
    <dxf>
      <font>
        <color rgb="FFFF0000"/>
      </font>
    </dxf>
    <dxf>
      <fill>
        <patternFill>
          <bgColor rgb="FFCCFFCC"/>
        </patternFill>
      </fill>
    </dxf>
    <dxf>
      <fill>
        <patternFill>
          <bgColor rgb="FFCCFFCC"/>
        </patternFill>
      </fill>
    </dxf>
    <dxf>
      <fill>
        <patternFill patternType="lightUp">
          <fgColor theme="0" tint="-0.499984740745262"/>
        </patternFill>
      </fill>
    </dxf>
    <dxf>
      <fill>
        <patternFill patternType="lightUp">
          <fgColor theme="0" tint="-0.499984740745262"/>
        </patternFill>
      </fill>
    </dxf>
    <dxf>
      <font>
        <b/>
        <i val="0"/>
        <color rgb="FF7030A0"/>
      </font>
      <fill>
        <patternFill>
          <bgColor rgb="FFCCFFCC"/>
        </patternFill>
      </fill>
    </dxf>
    <dxf>
      <font>
        <b/>
        <i val="0"/>
        <color rgb="FF7030A0"/>
      </font>
      <fill>
        <patternFill>
          <bgColor rgb="FFCCFFCC"/>
        </patternFill>
      </fill>
    </dxf>
    <dxf>
      <fill>
        <patternFill patternType="lightUp">
          <fgColor theme="0" tint="-0.499984740745262"/>
        </patternFill>
      </fill>
    </dxf>
    <dxf>
      <fill>
        <patternFill>
          <bgColor theme="7" tint="0.79998168889431442"/>
        </patternFill>
      </fill>
    </dxf>
    <dxf>
      <font>
        <b/>
        <i val="0"/>
        <color rgb="FF7030A0"/>
      </font>
      <fill>
        <patternFill>
          <bgColor theme="7" tint="0.79998168889431442"/>
        </patternFill>
      </fill>
    </dxf>
  </dxfs>
  <tableStyles count="0" defaultTableStyle="TableStyleMedium2" defaultPivotStyle="PivotStyleLight16"/>
  <colors>
    <mruColors>
      <color rgb="FFCCFFCC"/>
      <color rgb="FFFFFFCC"/>
      <color rgb="FF0000FF"/>
      <color rgb="FFEFFF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23"/>
  <sheetViews>
    <sheetView tabSelected="1" defaultGridColor="0" colorId="9" zoomScale="90" zoomScaleNormal="90" zoomScaleSheetLayoutView="100" workbookViewId="0">
      <selection activeCell="G7" sqref="G7"/>
    </sheetView>
  </sheetViews>
  <sheetFormatPr defaultColWidth="9.109375" defaultRowHeight="13.2" x14ac:dyDescent="0.25"/>
  <cols>
    <col min="1" max="1" width="13.33203125" style="13" customWidth="1"/>
    <col min="2" max="2" width="10.5546875" style="13" customWidth="1"/>
    <col min="3" max="5" width="13.6640625" style="13" customWidth="1"/>
    <col min="6" max="6" width="15.44140625" style="13" customWidth="1"/>
    <col min="7" max="7" width="18.44140625" style="13" customWidth="1"/>
    <col min="8" max="8" width="20.5546875" style="13" customWidth="1"/>
    <col min="9" max="16384" width="9.109375" style="13"/>
  </cols>
  <sheetData>
    <row r="1" spans="1:22" ht="36" customHeight="1" x14ac:dyDescent="0.25">
      <c r="A1" s="92" t="s">
        <v>124</v>
      </c>
      <c r="B1" s="92"/>
      <c r="C1" s="93" t="s">
        <v>96</v>
      </c>
      <c r="D1" s="93"/>
      <c r="E1" s="93"/>
      <c r="F1" s="93"/>
      <c r="G1" s="93"/>
    </row>
    <row r="2" spans="1:22" ht="24" customHeight="1" x14ac:dyDescent="0.25">
      <c r="A2" s="94" t="s">
        <v>97</v>
      </c>
      <c r="B2" s="94"/>
      <c r="C2" s="94"/>
      <c r="D2" s="94"/>
      <c r="E2" s="94"/>
      <c r="F2" s="94"/>
      <c r="G2" s="94"/>
    </row>
    <row r="3" spans="1:22" ht="104.25" customHeight="1" x14ac:dyDescent="0.25">
      <c r="A3" s="95" t="s">
        <v>127</v>
      </c>
      <c r="B3" s="96"/>
      <c r="C3" s="96"/>
      <c r="D3" s="96"/>
      <c r="E3" s="96"/>
      <c r="F3" s="96"/>
      <c r="G3" s="96"/>
    </row>
    <row r="4" spans="1:22" ht="188.25" customHeight="1" x14ac:dyDescent="0.25">
      <c r="A4" s="89" t="s">
        <v>126</v>
      </c>
      <c r="B4" s="97"/>
      <c r="C4" s="97"/>
      <c r="D4" s="97"/>
      <c r="E4" s="97"/>
      <c r="F4" s="97"/>
      <c r="G4" s="97"/>
    </row>
    <row r="5" spans="1:22" ht="84.9" customHeight="1" x14ac:dyDescent="0.25">
      <c r="A5" s="89" t="s">
        <v>128</v>
      </c>
      <c r="B5" s="89"/>
      <c r="C5" s="89"/>
      <c r="D5" s="89"/>
      <c r="E5" s="89"/>
      <c r="F5" s="89"/>
      <c r="G5" s="89"/>
    </row>
    <row r="6" spans="1:22" ht="6.75" customHeight="1" x14ac:dyDescent="0.25">
      <c r="A6" s="14"/>
      <c r="B6" s="14"/>
      <c r="C6" s="14"/>
      <c r="D6" s="14"/>
      <c r="E6" s="14"/>
      <c r="F6" s="14"/>
      <c r="G6" s="14"/>
    </row>
    <row r="7" spans="1:22" ht="20.100000000000001" customHeight="1" x14ac:dyDescent="0.25">
      <c r="A7" s="70" t="s">
        <v>104</v>
      </c>
      <c r="B7" s="14"/>
      <c r="C7" s="14"/>
      <c r="D7" s="14"/>
      <c r="E7" s="14"/>
      <c r="G7" s="57" t="s">
        <v>88</v>
      </c>
      <c r="H7" s="84" t="s">
        <v>120</v>
      </c>
      <c r="J7" s="71"/>
      <c r="K7" s="87"/>
      <c r="L7" s="87"/>
      <c r="M7" s="71"/>
      <c r="N7" s="87"/>
      <c r="O7" s="87"/>
      <c r="P7" s="71"/>
      <c r="Q7" s="71"/>
      <c r="R7" s="87"/>
      <c r="S7" s="87"/>
      <c r="T7" s="71"/>
      <c r="U7" s="87"/>
      <c r="V7" s="87"/>
    </row>
    <row r="8" spans="1:22" ht="20.100000000000001" customHeight="1" x14ac:dyDescent="0.25">
      <c r="A8" s="70" t="s">
        <v>105</v>
      </c>
      <c r="B8" s="14"/>
      <c r="C8" s="14"/>
      <c r="D8" s="14"/>
      <c r="E8" s="14"/>
      <c r="G8" s="76">
        <f>IF(ISERROR(VLOOKUP(G$7,ELI_PU,7)),"TBD",VLOOKUP(G$7,ELI_PU,7))</f>
        <v>0</v>
      </c>
      <c r="H8" s="84" t="s">
        <v>120</v>
      </c>
      <c r="J8" s="71"/>
      <c r="K8" s="73"/>
      <c r="L8" s="73"/>
      <c r="M8" s="71"/>
      <c r="N8" s="73"/>
      <c r="O8" s="73"/>
      <c r="P8" s="71"/>
      <c r="Q8" s="71"/>
      <c r="R8" s="73"/>
      <c r="S8" s="73"/>
      <c r="T8" s="71"/>
      <c r="U8" s="73"/>
      <c r="V8" s="73"/>
    </row>
    <row r="9" spans="1:22" ht="20.100000000000001" customHeight="1" x14ac:dyDescent="0.25">
      <c r="A9" s="70" t="s">
        <v>115</v>
      </c>
      <c r="B9" s="14"/>
      <c r="C9" s="14"/>
      <c r="D9" s="14"/>
      <c r="E9" s="14"/>
      <c r="G9" s="57" t="s">
        <v>95</v>
      </c>
      <c r="H9" s="84" t="s">
        <v>121</v>
      </c>
      <c r="J9" s="71"/>
      <c r="K9" s="72"/>
      <c r="L9" s="72"/>
      <c r="M9" s="71"/>
      <c r="N9" s="72"/>
      <c r="O9" s="72"/>
      <c r="P9" s="71"/>
      <c r="Q9" s="71"/>
      <c r="R9" s="72"/>
      <c r="S9" s="72"/>
      <c r="T9" s="71"/>
      <c r="U9" s="72"/>
      <c r="V9" s="72"/>
    </row>
    <row r="10" spans="1:22" ht="20.100000000000001" customHeight="1" x14ac:dyDescent="0.25">
      <c r="A10" s="70" t="s">
        <v>106</v>
      </c>
      <c r="B10" s="14"/>
      <c r="C10" s="14"/>
      <c r="D10" s="14"/>
      <c r="E10" s="14"/>
      <c r="G10" s="57" t="s">
        <v>95</v>
      </c>
      <c r="H10" s="84" t="s">
        <v>122</v>
      </c>
      <c r="J10" s="71"/>
      <c r="K10" s="72"/>
      <c r="L10" s="72"/>
      <c r="M10" s="71"/>
      <c r="N10" s="72"/>
      <c r="O10" s="72"/>
      <c r="P10" s="71"/>
      <c r="Q10" s="71"/>
      <c r="R10" s="72"/>
      <c r="S10" s="72"/>
      <c r="T10" s="71"/>
      <c r="U10" s="72"/>
      <c r="V10" s="72"/>
    </row>
    <row r="11" spans="1:22" ht="20.100000000000001" hidden="1" customHeight="1" x14ac:dyDescent="0.25">
      <c r="A11" s="70" t="s">
        <v>107</v>
      </c>
      <c r="B11" s="14"/>
      <c r="C11" s="14"/>
      <c r="D11" s="14"/>
      <c r="E11" s="14"/>
      <c r="G11" s="57" t="s">
        <v>94</v>
      </c>
      <c r="H11" s="85"/>
      <c r="J11" s="71"/>
      <c r="K11" s="72"/>
      <c r="L11" s="72"/>
      <c r="M11" s="71"/>
      <c r="N11" s="71"/>
      <c r="O11" s="72"/>
      <c r="P11" s="71"/>
      <c r="Q11" s="71"/>
      <c r="R11" s="71"/>
      <c r="S11" s="71"/>
      <c r="T11" s="71"/>
      <c r="U11" s="71"/>
      <c r="V11" s="71"/>
    </row>
    <row r="12" spans="1:22" ht="20.100000000000001" customHeight="1" x14ac:dyDescent="0.25">
      <c r="A12" s="70" t="s">
        <v>116</v>
      </c>
      <c r="B12" s="14"/>
      <c r="C12" s="14"/>
      <c r="D12" s="14"/>
      <c r="E12" s="14"/>
      <c r="G12" s="58">
        <v>0.15</v>
      </c>
      <c r="H12" s="84" t="str">
        <f>"(RFA Minimum ELI Set-Aside Commitment is "&amp;IF(OR(G10=A119,G10=A120),"15%",IF(G10=A118,"20%","TBD"))&amp;")"</f>
        <v>(RFA Minimum ELI Set-Aside Commitment is TBD)</v>
      </c>
      <c r="J12" s="71"/>
      <c r="K12" s="71"/>
      <c r="L12" s="71"/>
      <c r="M12" s="71"/>
      <c r="N12" s="71"/>
      <c r="O12" s="71"/>
      <c r="P12" s="71"/>
      <c r="Q12" s="71"/>
      <c r="R12" s="71"/>
      <c r="S12" s="71"/>
      <c r="T12" s="71"/>
      <c r="U12" s="71"/>
      <c r="V12" s="71"/>
    </row>
    <row r="13" spans="1:22" ht="20.100000000000001" customHeight="1" x14ac:dyDescent="0.25">
      <c r="A13" s="70" t="s">
        <v>117</v>
      </c>
      <c r="B13" s="14"/>
      <c r="C13" s="14"/>
      <c r="D13" s="14"/>
      <c r="E13" s="14"/>
      <c r="G13" s="74" t="str">
        <f>IF(G10=A118,0%,IF(OR(G10=A119,G10=A120),5%,"TBD"))</f>
        <v>TBD</v>
      </c>
      <c r="H13" s="84" t="s">
        <v>123</v>
      </c>
    </row>
    <row r="14" spans="1:22" ht="20.100000000000001" customHeight="1" x14ac:dyDescent="0.25">
      <c r="A14" s="70" t="s">
        <v>125</v>
      </c>
      <c r="B14" s="14"/>
      <c r="C14" s="14"/>
      <c r="D14" s="14"/>
      <c r="E14" s="14"/>
      <c r="G14" s="57" t="s">
        <v>93</v>
      </c>
      <c r="H14" s="85"/>
    </row>
    <row r="15" spans="1:22" ht="20.100000000000001" customHeight="1" x14ac:dyDescent="0.25">
      <c r="A15" s="70" t="str">
        <f>IF(AND(G14&lt;&gt;A106,OR(ISERROR(VLOOKUP(G7,ELI_PU,7)),G7=A35)),"8. NHTF Funding Amount is TBD ....................................................................................................................................................................................................",IF(OR(VLOOKUP(G7,ELI_PU,7)="Small",G14=A106),"8. No NHTF Funds are available for the proposed Development.................................................................................................................................................","8. The estimated minimum NHTF Loan Amount for the "&amp;TEXT(IF(IFERROR(VLOOKUP(G7,ELI_PU,7),"TBD")="Large",4,IF(IFERROR(VLOOKUP(G7,ELI_PU,7),"TBD")="Medium",3,IF(IFERROR(VLOOKUP(G7,ELI_PU,7),"TBD")="TBD","TBD",0))),"0")&amp;" units, each at "&amp;IF(ISERROR(VLOOKUP(G7,ELI_PU,6)),"TBD",TEXT(MIN(VLOOKUP(G7,ELI_PU,6),N(VLOOKUP(G7,ELI_PU,8))),"$0,000"))&amp;", is........................................................................................................................"))</f>
        <v>8. NHTF Funding Amount is TBD ....................................................................................................................................................................................................</v>
      </c>
      <c r="B15" s="14"/>
      <c r="C15" s="14"/>
      <c r="D15" s="14"/>
      <c r="E15" s="14"/>
      <c r="G15" s="77" t="str">
        <f>IF(AND(G14&lt;&gt;A106,OR(ISERROR(VLOOKUP(G7,ELI_PU,7)),ISERROR(VLOOKUP(G7,ELI_PU,6)),G7=A35)),"TBD",IF(AND(VLOOKUP(G7,ELI_PU,7)="Medium",G14="Yes"),3*MIN(VLOOKUP(G7,ELI_PU,6),N(VLOOKUP(G7,ELI_PU,8))),IF(AND(VLOOKUP(G7,ELI_PU,7)="Large",G14="Yes"),4*MIN(VLOOKUP(G7,ELI_PU,6),N(VLOOKUP(G7,ELI_PU,8))),"NA")))</f>
        <v>TBD</v>
      </c>
      <c r="H15" s="86" t="str">
        <f>"(§ Four, A, 10. a. (3); "&amp;IF(G14="No","NHTF funds are not available to proposed Developments that are not 100% new construction","The limiting funding criteria is the "&amp;IF(MIN(VLOOKUP(G7,ELI_PU,6),N(VLOOKUP(G7,ELI_PU,8)))=VLOOKUP(G7,ELI_PU,6),"NHTF Set-Aside per unit minimums at Exhibit I, 1.f.(1)","maximum subsidy limits based on Construction Type &amp; ESSC status at Exhibit I, 1.f.(2)"))&amp;")"</f>
        <v>(§ Four, A, 10. a. (3); The limiting funding criteria is the NHTF Set-Aside per unit minimums at Exhibit I, 1.f.(1))</v>
      </c>
    </row>
    <row r="16" spans="1:22" x14ac:dyDescent="0.25">
      <c r="A16" s="14"/>
      <c r="B16" s="14"/>
      <c r="C16" s="14"/>
      <c r="D16" s="14"/>
      <c r="E16" s="14"/>
      <c r="F16" s="15"/>
      <c r="G16" s="14"/>
    </row>
    <row r="17" spans="1:9" ht="13.8" thickBot="1" x14ac:dyDescent="0.3">
      <c r="A17" s="1" t="s">
        <v>0</v>
      </c>
      <c r="B17" s="1" t="s">
        <v>1</v>
      </c>
      <c r="C17" s="1" t="s">
        <v>2</v>
      </c>
      <c r="D17" s="1" t="s">
        <v>3</v>
      </c>
      <c r="E17" s="1" t="s">
        <v>4</v>
      </c>
      <c r="F17" s="1" t="s">
        <v>5</v>
      </c>
      <c r="G17" s="1" t="s">
        <v>6</v>
      </c>
    </row>
    <row r="18" spans="1:9" ht="53.25" customHeight="1" x14ac:dyDescent="0.25">
      <c r="A18" s="2" t="s">
        <v>7</v>
      </c>
      <c r="B18" s="3" t="s">
        <v>8</v>
      </c>
      <c r="C18" s="3" t="s">
        <v>9</v>
      </c>
      <c r="D18" s="3" t="s">
        <v>84</v>
      </c>
      <c r="E18" s="4" t="s">
        <v>85</v>
      </c>
      <c r="F18" s="3" t="s">
        <v>10</v>
      </c>
      <c r="G18" s="50" t="s">
        <v>11</v>
      </c>
      <c r="H18" s="81" t="s">
        <v>118</v>
      </c>
    </row>
    <row r="19" spans="1:9" ht="3.9" customHeight="1" x14ac:dyDescent="0.25">
      <c r="A19" s="16"/>
      <c r="B19" s="5"/>
      <c r="C19" s="17"/>
      <c r="D19" s="17"/>
      <c r="E19" s="17"/>
      <c r="F19" s="18"/>
      <c r="G19" s="51"/>
      <c r="H19" s="80"/>
      <c r="I19" s="84"/>
    </row>
    <row r="20" spans="1:9" x14ac:dyDescent="0.25">
      <c r="A20" s="19">
        <v>0</v>
      </c>
      <c r="B20" s="59">
        <v>0</v>
      </c>
      <c r="C20" s="20">
        <f>SUM(B$19:B20)</f>
        <v>0</v>
      </c>
      <c r="D20" s="20">
        <f>ROUNDUP(C20*N(G$12),0)-SUM(D$19:D19)</f>
        <v>0</v>
      </c>
      <c r="E20" s="21">
        <f>IF(G$13="LDA Not Allowed",0,ROUNDUP(C20*N(G$13),0)-SUM(E$19:E19))</f>
        <v>0</v>
      </c>
      <c r="F20" s="22">
        <f>IF(ISERROR(VLOOKUP(G$7,ELI_PU,3)),"",IF(G$10=A$118,0,VLOOKUP(G$7,ELI_PU,3)))</f>
        <v>0</v>
      </c>
      <c r="G20" s="52">
        <f>IF(ISERROR(F20*E20),0,F20*E20)</f>
        <v>0</v>
      </c>
      <c r="H20" s="82">
        <f>IF(B$26=0,0,B20/B$26)</f>
        <v>0</v>
      </c>
      <c r="I20" s="84" t="str">
        <f>"(Maximum is 50%, rounded up, or "&amp;TEXT(ROUNDUP(50%*B$26,0),"#,##0")&amp;" units)"</f>
        <v>(Maximum is 50%, rounded up, or 0 units)</v>
      </c>
    </row>
    <row r="21" spans="1:9" x14ac:dyDescent="0.25">
      <c r="A21" s="23">
        <v>1</v>
      </c>
      <c r="B21" s="60">
        <v>0</v>
      </c>
      <c r="C21" s="24">
        <f>SUM(B$19:B21)</f>
        <v>0</v>
      </c>
      <c r="D21" s="24">
        <f>ROUNDUP(C21*N(G$12),0)-SUM(D$19:D20)</f>
        <v>0</v>
      </c>
      <c r="E21" s="21">
        <f>IF(G$13="LDA Not Allowed",0,ROUNDUP(C21*N(G$13),0)-SUM(E$19:E20))</f>
        <v>0</v>
      </c>
      <c r="F21" s="25">
        <f>IF(ISERROR(VLOOKUP(G$7,ELI_PU,3)),"",IF(G$10=A$118,0,VLOOKUP(G$7,ELI_PU,3)))</f>
        <v>0</v>
      </c>
      <c r="G21" s="52">
        <f t="shared" ref="G21:G24" si="0">IF(ISERROR(F21*E21),0,F21*E21)</f>
        <v>0</v>
      </c>
      <c r="H21" s="82">
        <f t="shared" ref="H21:H24" si="1">IF(B$26=0,0,B21/B$26)</f>
        <v>0</v>
      </c>
      <c r="I21" s="84" t="str">
        <f>"(Minimum is 40%, rounded up, or "&amp;TEXT(ROUNDUP(40%*B$26,0),"#,##0")&amp;" units)"</f>
        <v>(Minimum is 40%, rounded up, or 0 units)</v>
      </c>
    </row>
    <row r="22" spans="1:9" x14ac:dyDescent="0.25">
      <c r="A22" s="23">
        <v>2</v>
      </c>
      <c r="B22" s="60">
        <v>0</v>
      </c>
      <c r="C22" s="24">
        <f>SUM(B$19:B22)</f>
        <v>0</v>
      </c>
      <c r="D22" s="24">
        <f>ROUNDUP(C22*N(G$12),0)-SUM(D$19:D21)</f>
        <v>0</v>
      </c>
      <c r="E22" s="21">
        <f>IF(G$13="LDA Not Allowed",0,ROUNDUP(C22*N(G$13),0)-SUM(E$19:E21))</f>
        <v>0</v>
      </c>
      <c r="F22" s="25">
        <f>IF(ISERROR(VLOOKUP(G$7,ELI_PU,4)),"",IF(G$10=A$118,0,VLOOKUP(G$7,ELI_PU,4)))</f>
        <v>0</v>
      </c>
      <c r="G22" s="52">
        <f t="shared" si="0"/>
        <v>0</v>
      </c>
      <c r="H22" s="82">
        <f t="shared" si="1"/>
        <v>0</v>
      </c>
      <c r="I22" s="84"/>
    </row>
    <row r="23" spans="1:9" x14ac:dyDescent="0.25">
      <c r="A23" s="23">
        <v>3</v>
      </c>
      <c r="B23" s="60">
        <v>0</v>
      </c>
      <c r="C23" s="24">
        <f>SUM(B$19:B23)</f>
        <v>0</v>
      </c>
      <c r="D23" s="24">
        <f>ROUNDUP(C23*N(G$12),0)-SUM(D$19:D22)</f>
        <v>0</v>
      </c>
      <c r="E23" s="21">
        <f>IF(G$13="LDA Not Allowed",0,ROUNDUP(C23*N(G$13),0)-SUM(E$19:E22))</f>
        <v>0</v>
      </c>
      <c r="F23" s="25">
        <f>IF(ISERROR(VLOOKUP(G$7,ELI_PU,5)),"",IF(G$10=A$118,0,VLOOKUP(G$7,ELI_PU,5)))</f>
        <v>0</v>
      </c>
      <c r="G23" s="52">
        <f t="shared" si="0"/>
        <v>0</v>
      </c>
      <c r="H23" s="82">
        <f t="shared" si="1"/>
        <v>0</v>
      </c>
      <c r="I23" s="84" t="str">
        <f>"(Maximum is 25%, rounded up, or "&amp;TEXT(ROUNDUP(25%*B$26,0),"#,##0")&amp;" units)"</f>
        <v>(Maximum is 25%, rounded up, or 0 units)</v>
      </c>
    </row>
    <row r="24" spans="1:9" hidden="1" x14ac:dyDescent="0.25">
      <c r="A24" s="23">
        <v>4</v>
      </c>
      <c r="B24" s="60">
        <v>0</v>
      </c>
      <c r="C24" s="24">
        <f>SUM(B$19:B24)</f>
        <v>0</v>
      </c>
      <c r="D24" s="24">
        <f>ROUNDUP(C24*N(G$12),0)-SUM(D$19:D23)</f>
        <v>0</v>
      </c>
      <c r="E24" s="21">
        <f>IF(G$13="LDA Not Allowed",0,ROUNDUP(C24*N(G$13),0)-SUM(E$19:E23))</f>
        <v>0</v>
      </c>
      <c r="F24" s="25">
        <f>IF(ISERROR(VLOOKUP(G$7,ELI_PU,5)),"",IF(G$10=A$118,0,VLOOKUP(G$7,ELI_PU,5)))</f>
        <v>0</v>
      </c>
      <c r="G24" s="52">
        <f t="shared" si="0"/>
        <v>0</v>
      </c>
      <c r="H24" s="82">
        <f t="shared" si="1"/>
        <v>0</v>
      </c>
      <c r="I24" s="84" t="s">
        <v>119</v>
      </c>
    </row>
    <row r="25" spans="1:9" ht="3.9" customHeight="1" thickBot="1" x14ac:dyDescent="0.3">
      <c r="A25" s="26"/>
      <c r="B25" s="6"/>
      <c r="C25" s="27"/>
      <c r="D25" s="27"/>
      <c r="E25" s="28"/>
      <c r="F25" s="29"/>
      <c r="G25" s="53"/>
      <c r="H25" s="79"/>
    </row>
    <row r="26" spans="1:9" ht="14.4" thickTop="1" thickBot="1" x14ac:dyDescent="0.3">
      <c r="A26" s="7" t="s">
        <v>12</v>
      </c>
      <c r="B26" s="55">
        <f>SUM(B19:B25)</f>
        <v>0</v>
      </c>
      <c r="C26" s="30"/>
      <c r="D26" s="30">
        <f>SUM(D19:D25)</f>
        <v>0</v>
      </c>
      <c r="E26" s="30">
        <f>SUM(E19:E25)</f>
        <v>0</v>
      </c>
      <c r="F26" s="31" t="str">
        <f>IF(E26=0,"",SUMPRODUCT(F20:F24,E20:E24)/E26)</f>
        <v/>
      </c>
      <c r="G26" s="54">
        <f>MIN($B$108,SUM(G19:G25))</f>
        <v>0</v>
      </c>
      <c r="H26" s="83">
        <f>SUM(H20:H25)</f>
        <v>0</v>
      </c>
    </row>
    <row r="27" spans="1:9" ht="12.75" customHeight="1" x14ac:dyDescent="0.25">
      <c r="A27" s="14"/>
      <c r="B27" s="100" t="s">
        <v>86</v>
      </c>
      <c r="C27" s="14"/>
      <c r="D27" s="103" t="str">
        <f>TEXT(D26,"0")&amp;" ELI units is "&amp;TEXT(IF($B26=0,0,D26/$B26),"0.00%")&amp;" of "&amp;TEXT(N($B26),"0")&amp;" total units."</f>
        <v>0 ELI units is 0.00% of 0 total units.</v>
      </c>
      <c r="E27" s="103" t="str">
        <f>TEXT(E26,"0")&amp;" ELI units is "&amp;TEXT(IF($B26=0,0,E26/$B26),"0.00%")&amp;" of "&amp;TEXT(N($B26),"0")&amp;" total units."</f>
        <v>0 ELI units is 0.00% of 0 total units.</v>
      </c>
      <c r="F27" s="106" t="str">
        <f>IF(SUM(G19:G25)&gt;G26,"The ELI Loan is capped at "&amp;TEXT($B$108,"$#,##0")&amp;".","")</f>
        <v/>
      </c>
      <c r="G27" s="98" t="s">
        <v>87</v>
      </c>
    </row>
    <row r="28" spans="1:9" x14ac:dyDescent="0.25">
      <c r="A28" s="14"/>
      <c r="B28" s="101"/>
      <c r="C28" s="14"/>
      <c r="D28" s="104"/>
      <c r="E28" s="104"/>
      <c r="F28" s="107"/>
      <c r="G28" s="98"/>
    </row>
    <row r="29" spans="1:9" x14ac:dyDescent="0.25">
      <c r="A29" s="14"/>
      <c r="B29" s="101"/>
      <c r="C29" s="14"/>
      <c r="D29" s="105"/>
      <c r="E29" s="105"/>
      <c r="F29" s="107"/>
      <c r="G29" s="98"/>
    </row>
    <row r="30" spans="1:9" ht="13.8" thickBot="1" x14ac:dyDescent="0.3">
      <c r="A30" s="14"/>
      <c r="B30" s="102"/>
      <c r="C30" s="14"/>
      <c r="D30" s="14"/>
      <c r="E30" s="14"/>
      <c r="F30" s="107"/>
      <c r="G30" s="99"/>
    </row>
    <row r="31" spans="1:9" ht="13.8" thickTop="1" x14ac:dyDescent="0.25">
      <c r="A31" s="14"/>
      <c r="B31" s="32"/>
      <c r="C31" s="14"/>
      <c r="D31" s="14"/>
      <c r="E31" s="14"/>
      <c r="F31" s="14"/>
      <c r="G31" s="14"/>
    </row>
    <row r="32" spans="1:9" ht="6" customHeight="1" x14ac:dyDescent="0.25">
      <c r="A32" s="14"/>
      <c r="B32" s="14"/>
      <c r="C32" s="14"/>
      <c r="D32" s="14"/>
      <c r="E32" s="14"/>
      <c r="F32" s="14"/>
      <c r="G32" s="14"/>
    </row>
    <row r="33" spans="1:10" ht="13.8" thickBot="1" x14ac:dyDescent="0.3">
      <c r="A33" s="12" t="s">
        <v>98</v>
      </c>
      <c r="B33" s="14"/>
      <c r="C33" s="14"/>
      <c r="D33" s="14"/>
      <c r="E33" s="14"/>
      <c r="F33" s="14"/>
      <c r="G33" s="14"/>
    </row>
    <row r="34" spans="1:10" ht="48.75" customHeight="1" thickBot="1" x14ac:dyDescent="0.3">
      <c r="A34" s="33" t="s">
        <v>13</v>
      </c>
      <c r="B34" s="34" t="s">
        <v>109</v>
      </c>
      <c r="C34" s="34" t="s">
        <v>14</v>
      </c>
      <c r="D34" s="34" t="s">
        <v>15</v>
      </c>
      <c r="E34" s="35" t="s">
        <v>16</v>
      </c>
      <c r="F34" s="34" t="s">
        <v>108</v>
      </c>
      <c r="G34" s="61" t="s">
        <v>92</v>
      </c>
      <c r="H34" s="61" t="str">
        <f>"NHTF $ per Constr. Type
["&amp;IF(G9=A110,"TBD",G9)&amp;"]"</f>
        <v>NHTF $ per Constr. Type
[TBD]</v>
      </c>
      <c r="I34" s="90" t="str">
        <f>"
As a note, one (1) less Funded ELI unit (column ""E"", "&amp;TEXT(IF(E26-1&lt;0,0,E26-1),"0")&amp;" total ELI units) is "&amp;TEXT(IF($B26=0,0,(E26-1)/$B26),"0.00%")&amp;" of "&amp;TEXT(N($B26),"0")&amp;" total units.  
"&amp;IF(OR(G13=G12,N(G12)=0),"","In addition, one (1) less ELI Unit Commitment (column ""D"", "&amp;TEXT(IF(D26-1&lt;0,0,D26-1),"0")&amp;" total ELI Committed units) is "&amp;TEXT(IF($B26=0,0,(D26-1)/$B26),"0.00%")&amp;" of "&amp;TEXT(N($B26),"0")&amp;" total units.")</f>
        <v xml:space="preserve">
As a note, one (1) less Funded ELI unit (column "E", 0 total ELI units) is 0.00% of 0 total units.  
In addition, one (1) less ELI Unit Commitment (column "D", 0 total ELI Committed units) is 0.00% of 0 total units.</v>
      </c>
      <c r="J34" s="91"/>
    </row>
    <row r="35" spans="1:10" ht="4.5" customHeight="1" x14ac:dyDescent="0.25">
      <c r="A35" s="56" t="s">
        <v>88</v>
      </c>
      <c r="B35" s="36"/>
      <c r="C35" s="36"/>
      <c r="D35" s="36"/>
      <c r="E35" s="37"/>
      <c r="F35" s="36"/>
      <c r="G35" s="62"/>
      <c r="H35" s="62"/>
      <c r="I35" s="90"/>
      <c r="J35" s="91"/>
    </row>
    <row r="36" spans="1:10" x14ac:dyDescent="0.25">
      <c r="A36" s="38" t="s">
        <v>17</v>
      </c>
      <c r="B36" s="9">
        <v>0.33</v>
      </c>
      <c r="C36" s="39">
        <v>68800</v>
      </c>
      <c r="D36" s="39">
        <v>80700</v>
      </c>
      <c r="E36" s="40">
        <v>91000</v>
      </c>
      <c r="F36" s="63">
        <v>193600</v>
      </c>
      <c r="G36" s="63" t="s">
        <v>89</v>
      </c>
      <c r="H36" s="63" t="str">
        <f>IF(OR(A36="Broward",A36="Miami-Dade",A36="Palm Beach"),IF(G$9=A$111,"N/A",IF(G$9=A$112,239300,IF(G$9=A$113,"N/A",IF(G$9=A$114,260300,IF(G$9=A$115,309200,"TBD"))))),IF(G$9=A$111,185500,IF(G$9=A$112,218000,IF(G$9=A$113,218000,IF(G$9=A$114,237800,IF(G$9=A$115,284000,"TBD"))))))</f>
        <v>TBD</v>
      </c>
      <c r="I36" s="90"/>
      <c r="J36" s="91"/>
    </row>
    <row r="37" spans="1:10" x14ac:dyDescent="0.25">
      <c r="A37" s="41" t="s">
        <v>18</v>
      </c>
      <c r="B37" s="10">
        <v>0.35</v>
      </c>
      <c r="C37" s="42">
        <v>59100</v>
      </c>
      <c r="D37" s="42">
        <v>69500</v>
      </c>
      <c r="E37" s="43">
        <v>78200</v>
      </c>
      <c r="F37" s="64">
        <v>179500</v>
      </c>
      <c r="G37" s="64" t="s">
        <v>90</v>
      </c>
      <c r="H37" s="64" t="str">
        <f t="shared" ref="H37:H100" si="2">IF(OR(A37="Broward",A37="Miami-Dade",A37="Palm Beach"),IF(G$9=A$111,"N/A",IF(G$9=A$112,239300,IF(G$9=A$113,"N/A",IF(G$9=A$114,260300,IF(G$9=A$115,309200,"TBD"))))),IF(G$9=A$111,185500,IF(G$9=A$112,218000,IF(G$9=A$113,218000,IF(G$9=A$114,237800,IF(G$9=A$115,284000,"TBD"))))))</f>
        <v>TBD</v>
      </c>
      <c r="I37" s="90"/>
      <c r="J37" s="91"/>
    </row>
    <row r="38" spans="1:10" x14ac:dyDescent="0.25">
      <c r="A38" s="44" t="s">
        <v>19</v>
      </c>
      <c r="B38" s="11">
        <v>0.35</v>
      </c>
      <c r="C38" s="45">
        <v>57700</v>
      </c>
      <c r="D38" s="45">
        <v>67600</v>
      </c>
      <c r="E38" s="46">
        <v>76200</v>
      </c>
      <c r="F38" s="65">
        <v>175300</v>
      </c>
      <c r="G38" s="65" t="s">
        <v>89</v>
      </c>
      <c r="H38" s="65" t="str">
        <f t="shared" si="2"/>
        <v>TBD</v>
      </c>
      <c r="I38" s="90"/>
      <c r="J38" s="91"/>
    </row>
    <row r="39" spans="1:10" x14ac:dyDescent="0.25">
      <c r="A39" s="38" t="s">
        <v>20</v>
      </c>
      <c r="B39" s="9">
        <v>0.4</v>
      </c>
      <c r="C39" s="39">
        <v>42800</v>
      </c>
      <c r="D39" s="39">
        <v>50200</v>
      </c>
      <c r="E39" s="40">
        <v>56700</v>
      </c>
      <c r="F39" s="64">
        <v>163000</v>
      </c>
      <c r="G39" s="63" t="s">
        <v>90</v>
      </c>
      <c r="H39" s="64" t="str">
        <f t="shared" si="2"/>
        <v>TBD</v>
      </c>
      <c r="I39" s="90"/>
      <c r="J39" s="91"/>
    </row>
    <row r="40" spans="1:10" x14ac:dyDescent="0.25">
      <c r="A40" s="41" t="s">
        <v>21</v>
      </c>
      <c r="B40" s="10">
        <v>0.35</v>
      </c>
      <c r="C40" s="42">
        <v>59100</v>
      </c>
      <c r="D40" s="42">
        <v>69500</v>
      </c>
      <c r="E40" s="43">
        <v>78200</v>
      </c>
      <c r="F40" s="64">
        <v>179500</v>
      </c>
      <c r="G40" s="64" t="s">
        <v>89</v>
      </c>
      <c r="H40" s="64" t="str">
        <f t="shared" si="2"/>
        <v>TBD</v>
      </c>
      <c r="I40" s="90"/>
      <c r="J40" s="91"/>
    </row>
    <row r="41" spans="1:10" x14ac:dyDescent="0.25">
      <c r="A41" s="44" t="s">
        <v>22</v>
      </c>
      <c r="B41" s="11">
        <v>0.28000000000000003</v>
      </c>
      <c r="C41" s="45">
        <v>96700</v>
      </c>
      <c r="D41" s="45">
        <v>113300</v>
      </c>
      <c r="E41" s="46">
        <v>127800</v>
      </c>
      <c r="F41" s="65">
        <v>229500</v>
      </c>
      <c r="G41" s="65" t="s">
        <v>91</v>
      </c>
      <c r="H41" s="65" t="str">
        <f t="shared" si="2"/>
        <v>TBD</v>
      </c>
      <c r="I41" s="90"/>
      <c r="J41" s="91"/>
    </row>
    <row r="42" spans="1:10" x14ac:dyDescent="0.25">
      <c r="A42" s="41" t="s">
        <v>23</v>
      </c>
      <c r="B42" s="10">
        <v>0.4</v>
      </c>
      <c r="C42" s="42">
        <v>37100</v>
      </c>
      <c r="D42" s="42">
        <v>43500</v>
      </c>
      <c r="E42" s="43">
        <v>49000</v>
      </c>
      <c r="F42" s="64">
        <v>140900</v>
      </c>
      <c r="G42" s="64" t="s">
        <v>90</v>
      </c>
      <c r="H42" s="64" t="str">
        <f t="shared" si="2"/>
        <v>TBD</v>
      </c>
      <c r="I42" s="90"/>
      <c r="J42" s="91"/>
    </row>
    <row r="43" spans="1:10" x14ac:dyDescent="0.25">
      <c r="A43" s="41" t="s">
        <v>24</v>
      </c>
      <c r="B43" s="10">
        <v>0.4</v>
      </c>
      <c r="C43" s="42">
        <v>41100</v>
      </c>
      <c r="D43" s="42">
        <v>48200</v>
      </c>
      <c r="E43" s="43">
        <v>54300</v>
      </c>
      <c r="F43" s="64">
        <v>156200</v>
      </c>
      <c r="G43" s="64" t="s">
        <v>89</v>
      </c>
      <c r="H43" s="64" t="str">
        <f t="shared" si="2"/>
        <v>TBD</v>
      </c>
      <c r="I43" s="90"/>
      <c r="J43" s="91"/>
    </row>
    <row r="44" spans="1:10" x14ac:dyDescent="0.25">
      <c r="A44" s="44" t="s">
        <v>25</v>
      </c>
      <c r="B44" s="11">
        <v>0.4</v>
      </c>
      <c r="C44" s="45">
        <v>37900</v>
      </c>
      <c r="D44" s="45">
        <v>44300</v>
      </c>
      <c r="E44" s="46">
        <v>49900</v>
      </c>
      <c r="F44" s="65">
        <v>143600</v>
      </c>
      <c r="G44" s="65" t="s">
        <v>89</v>
      </c>
      <c r="H44" s="65" t="str">
        <f t="shared" si="2"/>
        <v>TBD</v>
      </c>
      <c r="I44" s="90"/>
      <c r="J44" s="91"/>
    </row>
    <row r="45" spans="1:10" x14ac:dyDescent="0.25">
      <c r="A45" s="41" t="s">
        <v>26</v>
      </c>
      <c r="B45" s="10">
        <v>0.3</v>
      </c>
      <c r="C45" s="42">
        <v>79100</v>
      </c>
      <c r="D45" s="42">
        <v>92800</v>
      </c>
      <c r="E45" s="43">
        <v>104400</v>
      </c>
      <c r="F45" s="64">
        <v>200100</v>
      </c>
      <c r="G45" s="64" t="s">
        <v>89</v>
      </c>
      <c r="H45" s="64" t="str">
        <f t="shared" si="2"/>
        <v>TBD</v>
      </c>
    </row>
    <row r="46" spans="1:10" x14ac:dyDescent="0.25">
      <c r="A46" s="41" t="s">
        <v>27</v>
      </c>
      <c r="B46" s="10">
        <v>0.3</v>
      </c>
      <c r="C46" s="42">
        <v>84300</v>
      </c>
      <c r="D46" s="42">
        <v>98800</v>
      </c>
      <c r="E46" s="43">
        <v>111400</v>
      </c>
      <c r="F46" s="64">
        <v>213400</v>
      </c>
      <c r="G46" s="64" t="s">
        <v>89</v>
      </c>
      <c r="H46" s="64" t="str">
        <f t="shared" si="2"/>
        <v>TBD</v>
      </c>
    </row>
    <row r="47" spans="1:10" x14ac:dyDescent="0.25">
      <c r="A47" s="44" t="s">
        <v>28</v>
      </c>
      <c r="B47" s="11">
        <v>0.4</v>
      </c>
      <c r="C47" s="45">
        <v>42300</v>
      </c>
      <c r="D47" s="45">
        <v>49500</v>
      </c>
      <c r="E47" s="46">
        <v>55800</v>
      </c>
      <c r="F47" s="64">
        <v>160400</v>
      </c>
      <c r="G47" s="65" t="s">
        <v>90</v>
      </c>
      <c r="H47" s="64" t="str">
        <f t="shared" si="2"/>
        <v>TBD</v>
      </c>
    </row>
    <row r="48" spans="1:10" x14ac:dyDescent="0.25">
      <c r="A48" s="41" t="s">
        <v>29</v>
      </c>
      <c r="B48" s="10">
        <v>0.4</v>
      </c>
      <c r="C48" s="42">
        <v>37100</v>
      </c>
      <c r="D48" s="42">
        <v>43500</v>
      </c>
      <c r="E48" s="43">
        <v>49000</v>
      </c>
      <c r="F48" s="64">
        <v>140900</v>
      </c>
      <c r="G48" s="64" t="s">
        <v>90</v>
      </c>
      <c r="H48" s="64" t="str">
        <f t="shared" si="2"/>
        <v>TBD</v>
      </c>
    </row>
    <row r="49" spans="1:8" x14ac:dyDescent="0.25">
      <c r="A49" s="41" t="s">
        <v>30</v>
      </c>
      <c r="B49" s="10">
        <v>0.4</v>
      </c>
      <c r="C49" s="42">
        <v>37100</v>
      </c>
      <c r="D49" s="42">
        <v>43500</v>
      </c>
      <c r="E49" s="43">
        <v>49000</v>
      </c>
      <c r="F49" s="64">
        <v>140900</v>
      </c>
      <c r="G49" s="64" t="s">
        <v>90</v>
      </c>
      <c r="H49" s="64" t="str">
        <f t="shared" si="2"/>
        <v>TBD</v>
      </c>
    </row>
    <row r="50" spans="1:8" x14ac:dyDescent="0.25">
      <c r="A50" s="44" t="s">
        <v>31</v>
      </c>
      <c r="B50" s="11">
        <v>0.3</v>
      </c>
      <c r="C50" s="45">
        <v>79100</v>
      </c>
      <c r="D50" s="45">
        <v>92800</v>
      </c>
      <c r="E50" s="46">
        <v>104400</v>
      </c>
      <c r="F50" s="65">
        <v>200100</v>
      </c>
      <c r="G50" s="65" t="s">
        <v>91</v>
      </c>
      <c r="H50" s="65" t="str">
        <f t="shared" si="2"/>
        <v>TBD</v>
      </c>
    </row>
    <row r="51" spans="1:8" x14ac:dyDescent="0.25">
      <c r="A51" s="41" t="s">
        <v>32</v>
      </c>
      <c r="B51" s="10">
        <v>0.33</v>
      </c>
      <c r="C51" s="42">
        <v>67100</v>
      </c>
      <c r="D51" s="42">
        <v>78600</v>
      </c>
      <c r="E51" s="43">
        <v>88600</v>
      </c>
      <c r="F51" s="64">
        <v>188600</v>
      </c>
      <c r="G51" s="64" t="s">
        <v>89</v>
      </c>
      <c r="H51" s="64" t="str">
        <f t="shared" si="2"/>
        <v>TBD</v>
      </c>
    </row>
    <row r="52" spans="1:8" x14ac:dyDescent="0.25">
      <c r="A52" s="41" t="s">
        <v>33</v>
      </c>
      <c r="B52" s="10">
        <v>0.35</v>
      </c>
      <c r="C52" s="42">
        <v>58100</v>
      </c>
      <c r="D52" s="42">
        <v>68200</v>
      </c>
      <c r="E52" s="43">
        <v>76900</v>
      </c>
      <c r="F52" s="64">
        <v>176400</v>
      </c>
      <c r="G52" s="64" t="s">
        <v>89</v>
      </c>
      <c r="H52" s="64" t="str">
        <f t="shared" si="2"/>
        <v>TBD</v>
      </c>
    </row>
    <row r="53" spans="1:8" x14ac:dyDescent="0.25">
      <c r="A53" s="44" t="s">
        <v>34</v>
      </c>
      <c r="B53" s="11">
        <v>0.4</v>
      </c>
      <c r="C53" s="45">
        <v>37100</v>
      </c>
      <c r="D53" s="45">
        <v>43500</v>
      </c>
      <c r="E53" s="46">
        <v>49000</v>
      </c>
      <c r="F53" s="64">
        <v>140900</v>
      </c>
      <c r="G53" s="65" t="s">
        <v>90</v>
      </c>
      <c r="H53" s="64" t="str">
        <f t="shared" si="2"/>
        <v>TBD</v>
      </c>
    </row>
    <row r="54" spans="1:8" x14ac:dyDescent="0.25">
      <c r="A54" s="41" t="s">
        <v>35</v>
      </c>
      <c r="B54" s="10">
        <v>0.33</v>
      </c>
      <c r="C54" s="42">
        <v>66900</v>
      </c>
      <c r="D54" s="42">
        <v>78200</v>
      </c>
      <c r="E54" s="43">
        <v>88200</v>
      </c>
      <c r="F54" s="64">
        <v>187900</v>
      </c>
      <c r="G54" s="64" t="s">
        <v>90</v>
      </c>
      <c r="H54" s="64" t="str">
        <f t="shared" si="2"/>
        <v>TBD</v>
      </c>
    </row>
    <row r="55" spans="1:8" x14ac:dyDescent="0.25">
      <c r="A55" s="41" t="s">
        <v>36</v>
      </c>
      <c r="B55" s="10">
        <v>0.33</v>
      </c>
      <c r="C55" s="42">
        <v>68800</v>
      </c>
      <c r="D55" s="42">
        <v>80700</v>
      </c>
      <c r="E55" s="43">
        <v>91000</v>
      </c>
      <c r="F55" s="64">
        <v>193600</v>
      </c>
      <c r="G55" s="64" t="s">
        <v>90</v>
      </c>
      <c r="H55" s="64" t="str">
        <f t="shared" si="2"/>
        <v>TBD</v>
      </c>
    </row>
    <row r="56" spans="1:8" x14ac:dyDescent="0.25">
      <c r="A56" s="44" t="s">
        <v>37</v>
      </c>
      <c r="B56" s="11">
        <v>0.4</v>
      </c>
      <c r="C56" s="45">
        <v>37100</v>
      </c>
      <c r="D56" s="45">
        <v>43500</v>
      </c>
      <c r="E56" s="46">
        <v>49000</v>
      </c>
      <c r="F56" s="64">
        <v>140900</v>
      </c>
      <c r="G56" s="65" t="s">
        <v>90</v>
      </c>
      <c r="H56" s="64" t="str">
        <f t="shared" si="2"/>
        <v>TBD</v>
      </c>
    </row>
    <row r="57" spans="1:8" x14ac:dyDescent="0.25">
      <c r="A57" s="41" t="s">
        <v>38</v>
      </c>
      <c r="B57" s="10">
        <v>0.4</v>
      </c>
      <c r="C57" s="42">
        <v>39000</v>
      </c>
      <c r="D57" s="42">
        <v>45700</v>
      </c>
      <c r="E57" s="43">
        <v>51600</v>
      </c>
      <c r="F57" s="64">
        <v>148200</v>
      </c>
      <c r="G57" s="64" t="s">
        <v>90</v>
      </c>
      <c r="H57" s="64" t="str">
        <f t="shared" si="2"/>
        <v>TBD</v>
      </c>
    </row>
    <row r="58" spans="1:8" x14ac:dyDescent="0.25">
      <c r="A58" s="41" t="s">
        <v>39</v>
      </c>
      <c r="B58" s="10">
        <v>0.4</v>
      </c>
      <c r="C58" s="42">
        <v>37100</v>
      </c>
      <c r="D58" s="42">
        <v>43500</v>
      </c>
      <c r="E58" s="43">
        <v>49000</v>
      </c>
      <c r="F58" s="64">
        <v>140900</v>
      </c>
      <c r="G58" s="64" t="s">
        <v>90</v>
      </c>
      <c r="H58" s="64" t="str">
        <f t="shared" si="2"/>
        <v>TBD</v>
      </c>
    </row>
    <row r="59" spans="1:8" x14ac:dyDescent="0.25">
      <c r="A59" s="44" t="s">
        <v>40</v>
      </c>
      <c r="B59" s="11">
        <v>0.4</v>
      </c>
      <c r="C59" s="45">
        <v>37100</v>
      </c>
      <c r="D59" s="45">
        <v>43500</v>
      </c>
      <c r="E59" s="46">
        <v>49000</v>
      </c>
      <c r="F59" s="64">
        <v>140900</v>
      </c>
      <c r="G59" s="65" t="s">
        <v>90</v>
      </c>
      <c r="H59" s="64" t="str">
        <f t="shared" si="2"/>
        <v>TBD</v>
      </c>
    </row>
    <row r="60" spans="1:8" x14ac:dyDescent="0.25">
      <c r="A60" s="41" t="s">
        <v>41</v>
      </c>
      <c r="B60" s="10">
        <v>0.4</v>
      </c>
      <c r="C60" s="42">
        <v>37100</v>
      </c>
      <c r="D60" s="42">
        <v>43500</v>
      </c>
      <c r="E60" s="43">
        <v>49000</v>
      </c>
      <c r="F60" s="64">
        <v>140900</v>
      </c>
      <c r="G60" s="64" t="s">
        <v>90</v>
      </c>
      <c r="H60" s="64" t="str">
        <f t="shared" si="2"/>
        <v>TBD</v>
      </c>
    </row>
    <row r="61" spans="1:8" x14ac:dyDescent="0.25">
      <c r="A61" s="41" t="s">
        <v>42</v>
      </c>
      <c r="B61" s="10">
        <v>0.33</v>
      </c>
      <c r="C61" s="42">
        <v>64800</v>
      </c>
      <c r="D61" s="42">
        <v>76000</v>
      </c>
      <c r="E61" s="43">
        <v>85700</v>
      </c>
      <c r="F61" s="64">
        <v>182100</v>
      </c>
      <c r="G61" s="64" t="s">
        <v>89</v>
      </c>
      <c r="H61" s="64" t="str">
        <f t="shared" si="2"/>
        <v>TBD</v>
      </c>
    </row>
    <row r="62" spans="1:8" x14ac:dyDescent="0.25">
      <c r="A62" s="44" t="s">
        <v>43</v>
      </c>
      <c r="B62" s="11">
        <v>0.4</v>
      </c>
      <c r="C62" s="45">
        <v>37100</v>
      </c>
      <c r="D62" s="45">
        <v>43500</v>
      </c>
      <c r="E62" s="46">
        <v>49000</v>
      </c>
      <c r="F62" s="65">
        <v>140900</v>
      </c>
      <c r="G62" s="65" t="s">
        <v>89</v>
      </c>
      <c r="H62" s="65" t="str">
        <f t="shared" si="2"/>
        <v>TBD</v>
      </c>
    </row>
    <row r="63" spans="1:8" x14ac:dyDescent="0.25">
      <c r="A63" s="41" t="s">
        <v>44</v>
      </c>
      <c r="B63" s="10">
        <v>0.33</v>
      </c>
      <c r="C63" s="42">
        <v>64800</v>
      </c>
      <c r="D63" s="42">
        <v>76000</v>
      </c>
      <c r="E63" s="43">
        <v>85700</v>
      </c>
      <c r="F63" s="64">
        <v>182100</v>
      </c>
      <c r="G63" s="64" t="s">
        <v>91</v>
      </c>
      <c r="H63" s="64" t="str">
        <f t="shared" si="2"/>
        <v>TBD</v>
      </c>
    </row>
    <row r="64" spans="1:8" x14ac:dyDescent="0.25">
      <c r="A64" s="41" t="s">
        <v>45</v>
      </c>
      <c r="B64" s="10">
        <v>0.4</v>
      </c>
      <c r="C64" s="42">
        <v>37100</v>
      </c>
      <c r="D64" s="42">
        <v>43500</v>
      </c>
      <c r="E64" s="43">
        <v>49000</v>
      </c>
      <c r="F64" s="64">
        <v>140900</v>
      </c>
      <c r="G64" s="64" t="s">
        <v>90</v>
      </c>
      <c r="H64" s="64" t="str">
        <f t="shared" si="2"/>
        <v>TBD</v>
      </c>
    </row>
    <row r="65" spans="1:8" x14ac:dyDescent="0.25">
      <c r="A65" s="44" t="s">
        <v>46</v>
      </c>
      <c r="B65" s="11">
        <v>0.35</v>
      </c>
      <c r="C65" s="45">
        <v>58300</v>
      </c>
      <c r="D65" s="45">
        <v>68300</v>
      </c>
      <c r="E65" s="46">
        <v>77100</v>
      </c>
      <c r="F65" s="65">
        <v>176800</v>
      </c>
      <c r="G65" s="65" t="s">
        <v>89</v>
      </c>
      <c r="H65" s="65" t="str">
        <f t="shared" si="2"/>
        <v>TBD</v>
      </c>
    </row>
    <row r="66" spans="1:8" x14ac:dyDescent="0.25">
      <c r="A66" s="41" t="s">
        <v>47</v>
      </c>
      <c r="B66" s="10">
        <v>0.4</v>
      </c>
      <c r="C66" s="42">
        <v>37100</v>
      </c>
      <c r="D66" s="42">
        <v>43500</v>
      </c>
      <c r="E66" s="43">
        <v>49000</v>
      </c>
      <c r="F66" s="64">
        <v>140900</v>
      </c>
      <c r="G66" s="64" t="s">
        <v>90</v>
      </c>
      <c r="H66" s="64" t="str">
        <f t="shared" si="2"/>
        <v>TBD</v>
      </c>
    </row>
    <row r="67" spans="1:8" x14ac:dyDescent="0.25">
      <c r="A67" s="41" t="s">
        <v>48</v>
      </c>
      <c r="B67" s="10">
        <v>0.33</v>
      </c>
      <c r="C67" s="42">
        <v>66900</v>
      </c>
      <c r="D67" s="42">
        <v>78200</v>
      </c>
      <c r="E67" s="43">
        <v>88200</v>
      </c>
      <c r="F67" s="64">
        <v>187900</v>
      </c>
      <c r="G67" s="64" t="s">
        <v>90</v>
      </c>
      <c r="H67" s="64" t="str">
        <f t="shared" si="2"/>
        <v>TBD</v>
      </c>
    </row>
    <row r="68" spans="1:8" x14ac:dyDescent="0.25">
      <c r="A68" s="44" t="s">
        <v>49</v>
      </c>
      <c r="B68" s="11">
        <v>0.4</v>
      </c>
      <c r="C68" s="45">
        <v>37100</v>
      </c>
      <c r="D68" s="45">
        <v>43500</v>
      </c>
      <c r="E68" s="46">
        <v>49000</v>
      </c>
      <c r="F68" s="64">
        <v>140900</v>
      </c>
      <c r="G68" s="65" t="s">
        <v>90</v>
      </c>
      <c r="H68" s="64" t="str">
        <f t="shared" si="2"/>
        <v>TBD</v>
      </c>
    </row>
    <row r="69" spans="1:8" x14ac:dyDescent="0.25">
      <c r="A69" s="41" t="s">
        <v>50</v>
      </c>
      <c r="B69" s="10">
        <v>0.33</v>
      </c>
      <c r="C69" s="42">
        <v>67300</v>
      </c>
      <c r="D69" s="42">
        <v>78800</v>
      </c>
      <c r="E69" s="43">
        <v>89000</v>
      </c>
      <c r="F69" s="64">
        <v>189000</v>
      </c>
      <c r="G69" s="64" t="s">
        <v>89</v>
      </c>
      <c r="H69" s="64" t="str">
        <f t="shared" si="2"/>
        <v>TBD</v>
      </c>
    </row>
    <row r="70" spans="1:8" x14ac:dyDescent="0.25">
      <c r="A70" s="41" t="s">
        <v>51</v>
      </c>
      <c r="B70" s="10">
        <v>0.33</v>
      </c>
      <c r="C70" s="42">
        <v>65000</v>
      </c>
      <c r="D70" s="42">
        <v>76200</v>
      </c>
      <c r="E70" s="43">
        <v>86000</v>
      </c>
      <c r="F70" s="64">
        <v>182900</v>
      </c>
      <c r="G70" s="64" t="s">
        <v>89</v>
      </c>
      <c r="H70" s="64" t="str">
        <f t="shared" si="2"/>
        <v>TBD</v>
      </c>
    </row>
    <row r="71" spans="1:8" x14ac:dyDescent="0.25">
      <c r="A71" s="44" t="s">
        <v>52</v>
      </c>
      <c r="B71" s="11">
        <v>0.33</v>
      </c>
      <c r="C71" s="45">
        <v>66900</v>
      </c>
      <c r="D71" s="45">
        <v>78200</v>
      </c>
      <c r="E71" s="46">
        <v>88200</v>
      </c>
      <c r="F71" s="65">
        <v>187900</v>
      </c>
      <c r="G71" s="65" t="s">
        <v>89</v>
      </c>
      <c r="H71" s="65" t="str">
        <f t="shared" si="2"/>
        <v>TBD</v>
      </c>
    </row>
    <row r="72" spans="1:8" x14ac:dyDescent="0.25">
      <c r="A72" s="41" t="s">
        <v>53</v>
      </c>
      <c r="B72" s="10">
        <v>0.4</v>
      </c>
      <c r="C72" s="42">
        <v>37100</v>
      </c>
      <c r="D72" s="42">
        <v>43500</v>
      </c>
      <c r="E72" s="43">
        <v>49000</v>
      </c>
      <c r="F72" s="64">
        <v>140900</v>
      </c>
      <c r="G72" s="64" t="s">
        <v>90</v>
      </c>
      <c r="H72" s="64" t="str">
        <f t="shared" si="2"/>
        <v>TBD</v>
      </c>
    </row>
    <row r="73" spans="1:8" x14ac:dyDescent="0.25">
      <c r="A73" s="41" t="s">
        <v>54</v>
      </c>
      <c r="B73" s="10">
        <v>0.4</v>
      </c>
      <c r="C73" s="42">
        <v>37900</v>
      </c>
      <c r="D73" s="42">
        <v>44300</v>
      </c>
      <c r="E73" s="43">
        <v>49900</v>
      </c>
      <c r="F73" s="64">
        <v>143600</v>
      </c>
      <c r="G73" s="64" t="s">
        <v>90</v>
      </c>
      <c r="H73" s="64" t="str">
        <f t="shared" si="2"/>
        <v>TBD</v>
      </c>
    </row>
    <row r="74" spans="1:8" x14ac:dyDescent="0.25">
      <c r="A74" s="44" t="s">
        <v>55</v>
      </c>
      <c r="B74" s="11">
        <v>0.4</v>
      </c>
      <c r="C74" s="45">
        <v>37100</v>
      </c>
      <c r="D74" s="45">
        <v>43500</v>
      </c>
      <c r="E74" s="46">
        <v>49000</v>
      </c>
      <c r="F74" s="64">
        <v>140900</v>
      </c>
      <c r="G74" s="65" t="s">
        <v>90</v>
      </c>
      <c r="H74" s="64" t="str">
        <f t="shared" si="2"/>
        <v>TBD</v>
      </c>
    </row>
    <row r="75" spans="1:8" x14ac:dyDescent="0.25">
      <c r="A75" s="41" t="s">
        <v>56</v>
      </c>
      <c r="B75" s="10">
        <v>0.33</v>
      </c>
      <c r="C75" s="42">
        <v>68600</v>
      </c>
      <c r="D75" s="42">
        <v>80500</v>
      </c>
      <c r="E75" s="43">
        <v>90800</v>
      </c>
      <c r="F75" s="64">
        <v>193200</v>
      </c>
      <c r="G75" s="64" t="s">
        <v>89</v>
      </c>
      <c r="H75" s="64" t="str">
        <f t="shared" si="2"/>
        <v>TBD</v>
      </c>
    </row>
    <row r="76" spans="1:8" x14ac:dyDescent="0.25">
      <c r="A76" s="41" t="s">
        <v>57</v>
      </c>
      <c r="B76" s="10">
        <v>0.4</v>
      </c>
      <c r="C76" s="42">
        <v>37100</v>
      </c>
      <c r="D76" s="42">
        <v>43500</v>
      </c>
      <c r="E76" s="43">
        <v>49000</v>
      </c>
      <c r="F76" s="64">
        <v>140900</v>
      </c>
      <c r="G76" s="64" t="s">
        <v>89</v>
      </c>
      <c r="H76" s="64" t="str">
        <f t="shared" si="2"/>
        <v>TBD</v>
      </c>
    </row>
    <row r="77" spans="1:8" x14ac:dyDescent="0.25">
      <c r="A77" s="44" t="s">
        <v>58</v>
      </c>
      <c r="B77" s="11">
        <v>0.35</v>
      </c>
      <c r="C77" s="45">
        <v>57700</v>
      </c>
      <c r="D77" s="45">
        <v>67800</v>
      </c>
      <c r="E77" s="46">
        <v>76400</v>
      </c>
      <c r="F77" s="65">
        <v>175600</v>
      </c>
      <c r="G77" s="65" t="s">
        <v>89</v>
      </c>
      <c r="H77" s="65" t="str">
        <f t="shared" si="2"/>
        <v>TBD</v>
      </c>
    </row>
    <row r="78" spans="1:8" x14ac:dyDescent="0.25">
      <c r="A78" s="41" t="s">
        <v>59</v>
      </c>
      <c r="B78" s="10">
        <v>0.28000000000000003</v>
      </c>
      <c r="C78" s="42">
        <v>97300</v>
      </c>
      <c r="D78" s="42">
        <v>113900</v>
      </c>
      <c r="E78" s="43">
        <v>128500</v>
      </c>
      <c r="F78" s="64">
        <v>230600</v>
      </c>
      <c r="G78" s="64" t="s">
        <v>91</v>
      </c>
      <c r="H78" s="64" t="str">
        <f t="shared" si="2"/>
        <v>TBD</v>
      </c>
    </row>
    <row r="79" spans="1:8" x14ac:dyDescent="0.25">
      <c r="A79" s="41" t="s">
        <v>60</v>
      </c>
      <c r="B79" s="10">
        <v>0.25</v>
      </c>
      <c r="C79" s="42">
        <v>120100</v>
      </c>
      <c r="D79" s="42">
        <v>140600</v>
      </c>
      <c r="E79" s="43">
        <v>158600</v>
      </c>
      <c r="F79" s="64">
        <v>260400</v>
      </c>
      <c r="G79" s="64" t="s">
        <v>90</v>
      </c>
      <c r="H79" s="64" t="str">
        <f t="shared" si="2"/>
        <v>TBD</v>
      </c>
    </row>
    <row r="80" spans="1:8" x14ac:dyDescent="0.25">
      <c r="A80" s="44" t="s">
        <v>61</v>
      </c>
      <c r="B80" s="11">
        <v>0.3</v>
      </c>
      <c r="C80" s="45">
        <v>79100</v>
      </c>
      <c r="D80" s="45">
        <v>92800</v>
      </c>
      <c r="E80" s="46">
        <v>104400</v>
      </c>
      <c r="F80" s="64">
        <v>200100</v>
      </c>
      <c r="G80" s="65" t="s">
        <v>90</v>
      </c>
      <c r="H80" s="64" t="str">
        <f t="shared" si="2"/>
        <v>TBD</v>
      </c>
    </row>
    <row r="81" spans="1:8" x14ac:dyDescent="0.25">
      <c r="A81" s="41" t="s">
        <v>62</v>
      </c>
      <c r="B81" s="10">
        <v>0.33</v>
      </c>
      <c r="C81" s="42">
        <v>70000</v>
      </c>
      <c r="D81" s="42">
        <v>82000</v>
      </c>
      <c r="E81" s="43">
        <v>92400</v>
      </c>
      <c r="F81" s="64">
        <v>196600</v>
      </c>
      <c r="G81" s="64" t="s">
        <v>89</v>
      </c>
      <c r="H81" s="64" t="str">
        <f t="shared" si="2"/>
        <v>TBD</v>
      </c>
    </row>
    <row r="82" spans="1:8" x14ac:dyDescent="0.25">
      <c r="A82" s="41" t="s">
        <v>63</v>
      </c>
      <c r="B82" s="10">
        <v>0.4</v>
      </c>
      <c r="C82" s="42">
        <v>37100</v>
      </c>
      <c r="D82" s="42">
        <v>43500</v>
      </c>
      <c r="E82" s="43">
        <v>49000</v>
      </c>
      <c r="F82" s="64">
        <v>140900</v>
      </c>
      <c r="G82" s="64" t="s">
        <v>90</v>
      </c>
      <c r="H82" s="64" t="str">
        <f t="shared" si="2"/>
        <v>TBD</v>
      </c>
    </row>
    <row r="83" spans="1:8" x14ac:dyDescent="0.25">
      <c r="A83" s="44" t="s">
        <v>64</v>
      </c>
      <c r="B83" s="11">
        <v>0.33</v>
      </c>
      <c r="C83" s="45">
        <v>67300</v>
      </c>
      <c r="D83" s="45">
        <v>78800</v>
      </c>
      <c r="E83" s="46">
        <v>89000</v>
      </c>
      <c r="F83" s="65">
        <v>189000</v>
      </c>
      <c r="G83" s="65" t="s">
        <v>91</v>
      </c>
      <c r="H83" s="65" t="str">
        <f t="shared" si="2"/>
        <v>TBD</v>
      </c>
    </row>
    <row r="84" spans="1:8" x14ac:dyDescent="0.25">
      <c r="A84" s="41" t="s">
        <v>65</v>
      </c>
      <c r="B84" s="10">
        <v>0.33</v>
      </c>
      <c r="C84" s="42">
        <v>67300</v>
      </c>
      <c r="D84" s="42">
        <v>78800</v>
      </c>
      <c r="E84" s="43">
        <v>88900</v>
      </c>
      <c r="F84" s="64">
        <v>189000</v>
      </c>
      <c r="G84" s="64" t="s">
        <v>89</v>
      </c>
      <c r="H84" s="64" t="str">
        <f t="shared" si="2"/>
        <v>TBD</v>
      </c>
    </row>
    <row r="85" spans="1:8" x14ac:dyDescent="0.25">
      <c r="A85" s="41" t="s">
        <v>66</v>
      </c>
      <c r="B85" s="10">
        <v>0.28000000000000003</v>
      </c>
      <c r="C85" s="42">
        <v>96000</v>
      </c>
      <c r="D85" s="42">
        <v>112400</v>
      </c>
      <c r="E85" s="43">
        <v>126900</v>
      </c>
      <c r="F85" s="64">
        <v>227600</v>
      </c>
      <c r="G85" s="64" t="s">
        <v>91</v>
      </c>
      <c r="H85" s="64" t="str">
        <f t="shared" si="2"/>
        <v>TBD</v>
      </c>
    </row>
    <row r="86" spans="1:8" x14ac:dyDescent="0.25">
      <c r="A86" s="44" t="s">
        <v>67</v>
      </c>
      <c r="B86" s="11">
        <v>0.33</v>
      </c>
      <c r="C86" s="45">
        <v>64800</v>
      </c>
      <c r="D86" s="45">
        <v>76000</v>
      </c>
      <c r="E86" s="46">
        <v>85700</v>
      </c>
      <c r="F86" s="65">
        <v>182100</v>
      </c>
      <c r="G86" s="65" t="s">
        <v>89</v>
      </c>
      <c r="H86" s="65" t="str">
        <f t="shared" si="2"/>
        <v>TBD</v>
      </c>
    </row>
    <row r="87" spans="1:8" x14ac:dyDescent="0.25">
      <c r="A87" s="41" t="s">
        <v>68</v>
      </c>
      <c r="B87" s="10">
        <v>0.33</v>
      </c>
      <c r="C87" s="42">
        <v>64800</v>
      </c>
      <c r="D87" s="42">
        <v>76000</v>
      </c>
      <c r="E87" s="43">
        <v>85700</v>
      </c>
      <c r="F87" s="64">
        <v>182100</v>
      </c>
      <c r="G87" s="64" t="s">
        <v>91</v>
      </c>
      <c r="H87" s="64" t="str">
        <f t="shared" si="2"/>
        <v>TBD</v>
      </c>
    </row>
    <row r="88" spans="1:8" x14ac:dyDescent="0.25">
      <c r="A88" s="41" t="s">
        <v>69</v>
      </c>
      <c r="B88" s="10">
        <v>0.4</v>
      </c>
      <c r="C88" s="42">
        <v>41700</v>
      </c>
      <c r="D88" s="42">
        <v>48900</v>
      </c>
      <c r="E88" s="43">
        <v>55200</v>
      </c>
      <c r="F88" s="64">
        <v>158500</v>
      </c>
      <c r="G88" s="64" t="s">
        <v>89</v>
      </c>
      <c r="H88" s="64" t="str">
        <f t="shared" si="2"/>
        <v>TBD</v>
      </c>
    </row>
    <row r="89" spans="1:8" x14ac:dyDescent="0.25">
      <c r="A89" s="44" t="s">
        <v>70</v>
      </c>
      <c r="B89" s="11">
        <v>0.4</v>
      </c>
      <c r="C89" s="45">
        <v>37100</v>
      </c>
      <c r="D89" s="45">
        <v>43500</v>
      </c>
      <c r="E89" s="46">
        <v>49000</v>
      </c>
      <c r="F89" s="64">
        <v>140900</v>
      </c>
      <c r="G89" s="65" t="s">
        <v>90</v>
      </c>
      <c r="H89" s="64" t="str">
        <f t="shared" si="2"/>
        <v>TBD</v>
      </c>
    </row>
    <row r="90" spans="1:8" x14ac:dyDescent="0.25">
      <c r="A90" s="41" t="s">
        <v>71</v>
      </c>
      <c r="B90" s="10">
        <v>0.3</v>
      </c>
      <c r="C90" s="42">
        <v>79100</v>
      </c>
      <c r="D90" s="42">
        <v>92800</v>
      </c>
      <c r="E90" s="43">
        <v>104400</v>
      </c>
      <c r="F90" s="64">
        <v>200100</v>
      </c>
      <c r="G90" s="64" t="s">
        <v>89</v>
      </c>
      <c r="H90" s="64" t="str">
        <f t="shared" si="2"/>
        <v>TBD</v>
      </c>
    </row>
    <row r="91" spans="1:8" x14ac:dyDescent="0.25">
      <c r="A91" s="41" t="s">
        <v>72</v>
      </c>
      <c r="B91" s="10">
        <v>0.35</v>
      </c>
      <c r="C91" s="42">
        <v>57700</v>
      </c>
      <c r="D91" s="42">
        <v>67800</v>
      </c>
      <c r="E91" s="43">
        <v>76400</v>
      </c>
      <c r="F91" s="64">
        <v>175600</v>
      </c>
      <c r="G91" s="64" t="s">
        <v>89</v>
      </c>
      <c r="H91" s="64" t="str">
        <f t="shared" si="2"/>
        <v>TBD</v>
      </c>
    </row>
    <row r="92" spans="1:8" x14ac:dyDescent="0.25">
      <c r="A92" s="44" t="s">
        <v>73</v>
      </c>
      <c r="B92" s="11">
        <v>0.33</v>
      </c>
      <c r="C92" s="45">
        <v>67100</v>
      </c>
      <c r="D92" s="45">
        <v>78600</v>
      </c>
      <c r="E92" s="46">
        <v>88600</v>
      </c>
      <c r="F92" s="65">
        <v>188600</v>
      </c>
      <c r="G92" s="65" t="s">
        <v>89</v>
      </c>
      <c r="H92" s="65" t="str">
        <f t="shared" si="2"/>
        <v>TBD</v>
      </c>
    </row>
    <row r="93" spans="1:8" x14ac:dyDescent="0.25">
      <c r="A93" s="41" t="s">
        <v>74</v>
      </c>
      <c r="B93" s="10">
        <v>0.33</v>
      </c>
      <c r="C93" s="42">
        <v>68600</v>
      </c>
      <c r="D93" s="42">
        <v>80500</v>
      </c>
      <c r="E93" s="43">
        <v>90800</v>
      </c>
      <c r="F93" s="64">
        <v>193200</v>
      </c>
      <c r="G93" s="64" t="s">
        <v>89</v>
      </c>
      <c r="H93" s="64" t="str">
        <f t="shared" si="2"/>
        <v>TBD</v>
      </c>
    </row>
    <row r="94" spans="1:8" x14ac:dyDescent="0.25">
      <c r="A94" s="41" t="s">
        <v>75</v>
      </c>
      <c r="B94" s="10">
        <v>0.33</v>
      </c>
      <c r="C94" s="42">
        <v>67300</v>
      </c>
      <c r="D94" s="42">
        <v>78800</v>
      </c>
      <c r="E94" s="43">
        <v>89000</v>
      </c>
      <c r="F94" s="64">
        <v>189000</v>
      </c>
      <c r="G94" s="64" t="s">
        <v>89</v>
      </c>
      <c r="H94" s="64" t="str">
        <f t="shared" si="2"/>
        <v>TBD</v>
      </c>
    </row>
    <row r="95" spans="1:8" x14ac:dyDescent="0.25">
      <c r="A95" s="44" t="s">
        <v>76</v>
      </c>
      <c r="B95" s="11">
        <v>0.33</v>
      </c>
      <c r="C95" s="45">
        <v>69200</v>
      </c>
      <c r="D95" s="45">
        <v>81000</v>
      </c>
      <c r="E95" s="46">
        <v>91300</v>
      </c>
      <c r="F95" s="65">
        <v>194400</v>
      </c>
      <c r="G95" s="65" t="s">
        <v>89</v>
      </c>
      <c r="H95" s="65" t="str">
        <f t="shared" si="2"/>
        <v>TBD</v>
      </c>
    </row>
    <row r="96" spans="1:8" x14ac:dyDescent="0.25">
      <c r="A96" s="41" t="s">
        <v>77</v>
      </c>
      <c r="B96" s="10">
        <v>0.4</v>
      </c>
      <c r="C96" s="42">
        <v>37100</v>
      </c>
      <c r="D96" s="42">
        <v>43500</v>
      </c>
      <c r="E96" s="43">
        <v>49000</v>
      </c>
      <c r="F96" s="64">
        <v>140900</v>
      </c>
      <c r="G96" s="64" t="s">
        <v>90</v>
      </c>
      <c r="H96" s="64" t="str">
        <f t="shared" si="2"/>
        <v>TBD</v>
      </c>
    </row>
    <row r="97" spans="1:8" x14ac:dyDescent="0.25">
      <c r="A97" s="41" t="s">
        <v>78</v>
      </c>
      <c r="B97" s="10">
        <v>0.4</v>
      </c>
      <c r="C97" s="42">
        <v>37100</v>
      </c>
      <c r="D97" s="42">
        <v>43500</v>
      </c>
      <c r="E97" s="43">
        <v>49000</v>
      </c>
      <c r="F97" s="64">
        <v>140900</v>
      </c>
      <c r="G97" s="64" t="s">
        <v>90</v>
      </c>
      <c r="H97" s="64" t="str">
        <f t="shared" si="2"/>
        <v>TBD</v>
      </c>
    </row>
    <row r="98" spans="1:8" x14ac:dyDescent="0.25">
      <c r="A98" s="44" t="s">
        <v>79</v>
      </c>
      <c r="B98" s="11">
        <v>0.4</v>
      </c>
      <c r="C98" s="45">
        <v>37100</v>
      </c>
      <c r="D98" s="45">
        <v>43500</v>
      </c>
      <c r="E98" s="46">
        <v>49000</v>
      </c>
      <c r="F98" s="64">
        <v>140900</v>
      </c>
      <c r="G98" s="65" t="s">
        <v>90</v>
      </c>
      <c r="H98" s="64" t="str">
        <f t="shared" si="2"/>
        <v>TBD</v>
      </c>
    </row>
    <row r="99" spans="1:8" x14ac:dyDescent="0.25">
      <c r="A99" s="41" t="s">
        <v>80</v>
      </c>
      <c r="B99" s="10">
        <v>0.4</v>
      </c>
      <c r="C99" s="42">
        <v>44000</v>
      </c>
      <c r="D99" s="42">
        <v>51400</v>
      </c>
      <c r="E99" s="43">
        <v>58000</v>
      </c>
      <c r="F99" s="64">
        <v>166900</v>
      </c>
      <c r="G99" s="64" t="s">
        <v>89</v>
      </c>
      <c r="H99" s="64" t="str">
        <f t="shared" si="2"/>
        <v>TBD</v>
      </c>
    </row>
    <row r="100" spans="1:8" x14ac:dyDescent="0.25">
      <c r="A100" s="41" t="s">
        <v>81</v>
      </c>
      <c r="B100" s="10">
        <v>0.35</v>
      </c>
      <c r="C100" s="42">
        <v>58100</v>
      </c>
      <c r="D100" s="42">
        <v>68000</v>
      </c>
      <c r="E100" s="43">
        <v>76700</v>
      </c>
      <c r="F100" s="64">
        <v>176000</v>
      </c>
      <c r="G100" s="64" t="s">
        <v>90</v>
      </c>
      <c r="H100" s="64" t="str">
        <f t="shared" si="2"/>
        <v>TBD</v>
      </c>
    </row>
    <row r="101" spans="1:8" x14ac:dyDescent="0.25">
      <c r="A101" s="44" t="s">
        <v>82</v>
      </c>
      <c r="B101" s="11">
        <v>0.35</v>
      </c>
      <c r="C101" s="45">
        <v>59500</v>
      </c>
      <c r="D101" s="45">
        <v>69800</v>
      </c>
      <c r="E101" s="46">
        <v>78700</v>
      </c>
      <c r="F101" s="64">
        <v>180600</v>
      </c>
      <c r="G101" s="65" t="s">
        <v>90</v>
      </c>
      <c r="H101" s="64" t="str">
        <f t="shared" ref="H101:H102" si="3">IF(OR(A101="Broward",A101="Miami-Dade",A101="Palm Beach"),IF(G$9=A$111,"N/A",IF(G$9=A$112,239300,IF(G$9=A$113,"N/A",IF(G$9=A$114,260300,IF(G$9=A$115,309200,"TBD"))))),IF(G$9=A$111,185500,IF(G$9=A$112,218000,IF(G$9=A$113,218000,IF(G$9=A$114,237800,IF(G$9=A$115,284000,"TBD"))))))</f>
        <v>TBD</v>
      </c>
    </row>
    <row r="102" spans="1:8" ht="13.8" thickBot="1" x14ac:dyDescent="0.3">
      <c r="A102" s="47" t="s">
        <v>83</v>
      </c>
      <c r="B102" s="8">
        <v>0.4</v>
      </c>
      <c r="C102" s="48">
        <v>37100</v>
      </c>
      <c r="D102" s="48">
        <v>43500</v>
      </c>
      <c r="E102" s="49">
        <v>49000</v>
      </c>
      <c r="F102" s="75">
        <v>140900</v>
      </c>
      <c r="G102" s="66" t="s">
        <v>90</v>
      </c>
      <c r="H102" s="75" t="str">
        <f t="shared" si="3"/>
        <v>TBD</v>
      </c>
    </row>
    <row r="103" spans="1:8" x14ac:dyDescent="0.25">
      <c r="A103" s="14"/>
      <c r="B103" s="14"/>
      <c r="C103" s="14"/>
      <c r="D103" s="14"/>
      <c r="E103" s="14"/>
      <c r="F103" s="14"/>
      <c r="G103" s="14"/>
    </row>
    <row r="104" spans="1:8" x14ac:dyDescent="0.25">
      <c r="A104" s="67" t="s">
        <v>95</v>
      </c>
    </row>
    <row r="105" spans="1:8" x14ac:dyDescent="0.25">
      <c r="A105" s="67" t="s">
        <v>93</v>
      </c>
    </row>
    <row r="106" spans="1:8" x14ac:dyDescent="0.25">
      <c r="A106" s="67" t="s">
        <v>94</v>
      </c>
    </row>
    <row r="108" spans="1:8" x14ac:dyDescent="0.25">
      <c r="A108" s="13" t="s">
        <v>100</v>
      </c>
      <c r="B108" s="88">
        <v>600000</v>
      </c>
      <c r="C108" s="88"/>
    </row>
    <row r="110" spans="1:8" x14ac:dyDescent="0.25">
      <c r="A110" s="67" t="s">
        <v>95</v>
      </c>
    </row>
    <row r="111" spans="1:8" x14ac:dyDescent="0.25">
      <c r="A111" s="78" t="s">
        <v>110</v>
      </c>
    </row>
    <row r="112" spans="1:8" x14ac:dyDescent="0.25">
      <c r="A112" s="78" t="s">
        <v>111</v>
      </c>
    </row>
    <row r="113" spans="1:1" x14ac:dyDescent="0.25">
      <c r="A113" s="78" t="s">
        <v>112</v>
      </c>
    </row>
    <row r="114" spans="1:1" x14ac:dyDescent="0.25">
      <c r="A114" s="13" t="s">
        <v>113</v>
      </c>
    </row>
    <row r="115" spans="1:1" x14ac:dyDescent="0.25">
      <c r="A115" s="13" t="s">
        <v>114</v>
      </c>
    </row>
    <row r="117" spans="1:1" x14ac:dyDescent="0.25">
      <c r="A117" s="67" t="s">
        <v>95</v>
      </c>
    </row>
    <row r="118" spans="1:1" x14ac:dyDescent="0.25">
      <c r="A118" s="13" t="s">
        <v>101</v>
      </c>
    </row>
    <row r="119" spans="1:1" x14ac:dyDescent="0.25">
      <c r="A119" s="68" t="s">
        <v>102</v>
      </c>
    </row>
    <row r="120" spans="1:1" x14ac:dyDescent="0.25">
      <c r="A120" s="13" t="s">
        <v>103</v>
      </c>
    </row>
    <row r="122" spans="1:1" x14ac:dyDescent="0.25">
      <c r="A122" s="58" t="s">
        <v>99</v>
      </c>
    </row>
    <row r="123" spans="1:1" x14ac:dyDescent="0.25">
      <c r="A123" s="69" t="str">
        <f>IF(AND(G9=A114,OR(G10=A119,G10=A120),G11=A106),10%,IF(AND(G9=A114,G10=A118,G11=A106),15%,IF(AND(G9=A114,G11=A105),30%,IF(AND(G9=A115,G11=A106),0%,IF(AND(G9=A115,G11=A105),30%,"TBD")))))</f>
        <v>TBD</v>
      </c>
    </row>
  </sheetData>
  <sheetProtection algorithmName="SHA-512" hashValue="phsm9mRzA7oYn5OW8DAYkNXNM4wlKvflpae8lvGXOtR6/wLr/a9xN2I5e7PatIjBxJmqu8pLnd0mYxJXuNcgLw==" saltValue="5aya7gt6Qh6f4p4EMO9nkg==" spinCount="100000" sheet="1" selectLockedCells="1"/>
  <mergeCells count="17">
    <mergeCell ref="A5:G5"/>
    <mergeCell ref="I34:J44"/>
    <mergeCell ref="A1:B1"/>
    <mergeCell ref="C1:G1"/>
    <mergeCell ref="A2:G2"/>
    <mergeCell ref="A3:G3"/>
    <mergeCell ref="A4:G4"/>
    <mergeCell ref="G27:G30"/>
    <mergeCell ref="B27:B30"/>
    <mergeCell ref="D27:D29"/>
    <mergeCell ref="E27:E29"/>
    <mergeCell ref="F27:F30"/>
    <mergeCell ref="K7:L7"/>
    <mergeCell ref="R7:S7"/>
    <mergeCell ref="N7:O7"/>
    <mergeCell ref="U7:V7"/>
    <mergeCell ref="B108:C108"/>
  </mergeCells>
  <conditionalFormatting sqref="G26">
    <cfRule type="expression" dxfId="13" priority="19">
      <formula>SUM(G19:G25)&gt;G26</formula>
    </cfRule>
  </conditionalFormatting>
  <conditionalFormatting sqref="F27:F30">
    <cfRule type="expression" dxfId="12" priority="18">
      <formula>SUM(G19:G25)&gt;G26</formula>
    </cfRule>
  </conditionalFormatting>
  <conditionalFormatting sqref="F36:F102">
    <cfRule type="expression" dxfId="11" priority="16">
      <formula>G36="Small"</formula>
    </cfRule>
    <cfRule type="expression" dxfId="10" priority="8">
      <formula>AND(A36=G$7,F36&lt;=N(H36))</formula>
    </cfRule>
  </conditionalFormatting>
  <conditionalFormatting sqref="H36:H102">
    <cfRule type="expression" dxfId="9" priority="10">
      <formula>AND(G$7=A36,N(H36)&lt;F36)</formula>
    </cfRule>
    <cfRule type="cellIs" dxfId="8" priority="11" operator="equal">
      <formula>"N/A"</formula>
    </cfRule>
    <cfRule type="expression" dxfId="7" priority="12">
      <formula>G36="Small"</formula>
    </cfRule>
  </conditionalFormatting>
  <conditionalFormatting sqref="A36:A102">
    <cfRule type="cellIs" dxfId="6" priority="9" operator="equal">
      <formula>G$7</formula>
    </cfRule>
  </conditionalFormatting>
  <conditionalFormatting sqref="C36:E102">
    <cfRule type="expression" dxfId="5" priority="7">
      <formula>$A36=$G$7</formula>
    </cfRule>
  </conditionalFormatting>
  <conditionalFormatting sqref="I20">
    <cfRule type="expression" dxfId="4" priority="3">
      <formula>ROUNDUP(50%*$B$26,0)&lt;$B$20</formula>
    </cfRule>
  </conditionalFormatting>
  <conditionalFormatting sqref="I21">
    <cfRule type="expression" dxfId="3" priority="4">
      <formula>ROUNDUP(40%*$B$26,0)&gt;$B$21</formula>
    </cfRule>
  </conditionalFormatting>
  <conditionalFormatting sqref="I23">
    <cfRule type="expression" dxfId="2" priority="5">
      <formula>ROUNDUP(25%*$B$26,0)&lt;$B$23</formula>
    </cfRule>
  </conditionalFormatting>
  <conditionalFormatting sqref="H12">
    <cfRule type="expression" dxfId="1" priority="2">
      <formula>AND(G12&lt;15%,OR(G10=A119,G10=G120))</formula>
    </cfRule>
    <cfRule type="expression" dxfId="0" priority="1">
      <formula>AND(G12&lt;20%,G10=A118)</formula>
    </cfRule>
  </conditionalFormatting>
  <dataValidations xWindow="531" yWindow="472" count="4">
    <dataValidation type="list" allowBlank="1" showInputMessage="1" showErrorMessage="1" sqref="G7" xr:uid="{00000000-0002-0000-0000-000000000000}">
      <formula1>$A$35:$A$102</formula1>
    </dataValidation>
    <dataValidation type="list" allowBlank="1" showInputMessage="1" showErrorMessage="1" sqref="G14 G11" xr:uid="{22A46BD2-A9B7-43B9-83F5-62EFF7A0AFC7}">
      <formula1>$A$104:$A$106</formula1>
    </dataValidation>
    <dataValidation type="list" allowBlank="1" showInputMessage="1" showErrorMessage="1" sqref="G9" xr:uid="{6BED0E39-88C6-4BC4-B192-CC2919FC9C1D}">
      <formula1>$A$110:$A$115</formula1>
    </dataValidation>
    <dataValidation type="list" allowBlank="1" showInputMessage="1" showErrorMessage="1" sqref="G10" xr:uid="{D348BC0F-E15E-43B9-A33E-F8E0F31D7DDB}">
      <formula1>$A$117:$A$120</formula1>
    </dataValidation>
  </dataValidations>
  <printOptions horizontalCentered="1"/>
  <pageMargins left="0.25" right="0.25" top="0.75" bottom="0.75" header="0.3" footer="0.3"/>
  <pageSetup scale="87" orientation="portrait" r:id="rId1"/>
  <rowBreaks count="1" manualBreakCount="1">
    <brk id="30" max="16383" man="1"/>
  </rowBreaks>
  <colBreaks count="1" manualBreakCount="1">
    <brk id="7"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CFB2C1F95E10B43A73DAC8A7F73581C" ma:contentTypeVersion="0" ma:contentTypeDescription="Create a new document." ma:contentTypeScope="" ma:versionID="423978711296cb4df3b1a81eabe0fa46">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6CB79A7-AAA4-4F15-BC3F-566DCF15C10A}">
  <ds:schemaRefs>
    <ds:schemaRef ds:uri="http://purl.org/dc/terms/"/>
    <ds:schemaRef ds:uri="http://purl.org/dc/elements/1.1/"/>
    <ds:schemaRef ds:uri="http://schemas.openxmlformats.org/package/2006/metadata/core-properties"/>
    <ds:schemaRef ds:uri="http://purl.org/dc/dcmitype/"/>
    <ds:schemaRef ds:uri="http://www.w3.org/XML/1998/namespace"/>
    <ds:schemaRef ds:uri="http://schemas.microsoft.com/office/infopath/2007/PartnerControls"/>
    <ds:schemaRef ds:uri="http://schemas.microsoft.com/office/2006/documentManagement/types"/>
    <ds:schemaRef ds:uri="http://schemas.microsoft.com/office/2006/metadata/properties"/>
  </ds:schemaRefs>
</ds:datastoreItem>
</file>

<file path=customXml/itemProps2.xml><?xml version="1.0" encoding="utf-8"?>
<ds:datastoreItem xmlns:ds="http://schemas.openxmlformats.org/officeDocument/2006/customXml" ds:itemID="{806B1601-4F58-4819-807E-B3DF64ABC0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31E0585C-696A-4E1C-837F-4071351B234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ELI_PU</vt:lpstr>
      <vt:lpstr>Sheet1!Print_Area</vt:lpstr>
    </vt:vector>
  </TitlesOfParts>
  <Company>FHFC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L. Tatreau</dc:creator>
  <cp:lastModifiedBy>Jean Salmonsen</cp:lastModifiedBy>
  <cp:lastPrinted>2019-11-04T20:05:14Z</cp:lastPrinted>
  <dcterms:created xsi:type="dcterms:W3CDTF">2015-07-20T21:55:29Z</dcterms:created>
  <dcterms:modified xsi:type="dcterms:W3CDTF">2020-01-28T20:57:31Z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0x010100BCFB2C1F95E10B43A73DAC8A7F73581C</vt:lpwstr>
  </property>
</Properties>
</file>