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https://floridahousing-my.sharepoint.com/personal/kevin_tatreau_floridahousing_org/Documents/2016/2016 RFAs/RFA 2016-109 SAIL Family Elderly with NHTF/"/>
    </mc:Choice>
  </mc:AlternateContent>
  <bookViews>
    <workbookView xWindow="0" yWindow="0" windowWidth="28800" windowHeight="12210" firstSheet="1" activeTab="1"/>
  </bookViews>
  <sheets>
    <sheet name="Menues" sheetId="2" state="hidden" r:id="rId1"/>
    <sheet name="Leveraging" sheetId="1" r:id="rId2"/>
  </sheets>
  <definedNames>
    <definedName name="DataFields">Menues!$A$2:$P$49</definedName>
    <definedName name="DevTypes">Leveraging!$G$6:$I$12</definedName>
    <definedName name="_xlnm.Print_Area" localSheetId="1">Leveraging!$A$2:$V$24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C19" i="1"/>
  <c r="B19" i="1" l="1"/>
  <c r="O23" i="1"/>
  <c r="L23" i="1"/>
  <c r="O22" i="1"/>
  <c r="L22" i="1"/>
  <c r="O21" i="1"/>
  <c r="L21" i="1"/>
  <c r="O20" i="1"/>
  <c r="L20" i="1"/>
  <c r="O19" i="1"/>
  <c r="L19" i="1"/>
  <c r="O18" i="1"/>
  <c r="L18" i="1"/>
  <c r="O17" i="1"/>
  <c r="L17" i="1"/>
  <c r="O12" i="1"/>
  <c r="L12" i="1"/>
  <c r="O11" i="1"/>
  <c r="L11" i="1"/>
  <c r="O10" i="1"/>
  <c r="L10" i="1"/>
  <c r="O9" i="1"/>
  <c r="L9" i="1"/>
  <c r="O8" i="1"/>
  <c r="L8" i="1"/>
  <c r="O7" i="1"/>
  <c r="L7" i="1"/>
  <c r="O6" i="1"/>
  <c r="L6" i="1"/>
  <c r="U23" i="1"/>
  <c r="R23" i="1"/>
  <c r="U22" i="1"/>
  <c r="R22" i="1"/>
  <c r="U21" i="1"/>
  <c r="R21" i="1"/>
  <c r="U20" i="1"/>
  <c r="R20" i="1"/>
  <c r="U19" i="1"/>
  <c r="R19" i="1"/>
  <c r="U18" i="1"/>
  <c r="R18" i="1"/>
  <c r="U17" i="1"/>
  <c r="R17" i="1"/>
  <c r="U12" i="1"/>
  <c r="R12" i="1"/>
  <c r="U11" i="1"/>
  <c r="R11" i="1"/>
  <c r="U10" i="1"/>
  <c r="R10" i="1"/>
  <c r="U9" i="1"/>
  <c r="R9" i="1"/>
  <c r="U8" i="1"/>
  <c r="R8" i="1"/>
  <c r="U7" i="1"/>
  <c r="R7" i="1"/>
  <c r="U6" i="1"/>
  <c r="R6" i="1"/>
  <c r="E17" i="1" l="1"/>
  <c r="E16" i="1"/>
  <c r="C18" i="1"/>
  <c r="B15" i="1" l="1"/>
  <c r="B13" i="1"/>
  <c r="L7" i="2" l="1"/>
  <c r="L3" i="2"/>
  <c r="L19" i="2"/>
  <c r="L15" i="2"/>
  <c r="L9" i="2"/>
  <c r="L31" i="2"/>
  <c r="L29" i="2"/>
  <c r="L27" i="2"/>
  <c r="L49" i="2"/>
  <c r="L47" i="2"/>
  <c r="L45" i="2"/>
  <c r="L43" i="2"/>
  <c r="L41" i="2"/>
  <c r="L39" i="2"/>
  <c r="L37" i="2"/>
  <c r="L35" i="2"/>
  <c r="L33" i="2"/>
  <c r="J7" i="2"/>
  <c r="J3" i="2"/>
  <c r="J19" i="2"/>
  <c r="J15" i="2"/>
  <c r="J9" i="2"/>
  <c r="J31" i="2"/>
  <c r="J29" i="2"/>
  <c r="J27" i="2"/>
  <c r="J49" i="2"/>
  <c r="J47" i="2"/>
  <c r="J45" i="2"/>
  <c r="J43" i="2"/>
  <c r="J41" i="2"/>
  <c r="J39" i="2"/>
  <c r="J37" i="2"/>
  <c r="J35" i="2"/>
  <c r="J33" i="2"/>
  <c r="I7" i="2"/>
  <c r="K7" i="2" s="1"/>
  <c r="I3" i="2"/>
  <c r="K3" i="2" s="1"/>
  <c r="I19" i="2"/>
  <c r="I15" i="2"/>
  <c r="K15" i="2" s="1"/>
  <c r="I9" i="2"/>
  <c r="I31" i="2"/>
  <c r="K31" i="2" s="1"/>
  <c r="I29" i="2"/>
  <c r="I27" i="2"/>
  <c r="I49" i="2"/>
  <c r="I47" i="2"/>
  <c r="K47" i="2" s="1"/>
  <c r="I45" i="2"/>
  <c r="I43" i="2"/>
  <c r="K43" i="2" s="1"/>
  <c r="I41" i="2"/>
  <c r="K41" i="2" s="1"/>
  <c r="I39" i="2"/>
  <c r="K39" i="2" s="1"/>
  <c r="I37" i="2"/>
  <c r="I35" i="2"/>
  <c r="I33" i="2"/>
  <c r="K33" i="2" s="1"/>
  <c r="C49" i="2"/>
  <c r="H7" i="2"/>
  <c r="H3" i="2"/>
  <c r="H19" i="2"/>
  <c r="H15" i="2"/>
  <c r="H9" i="2"/>
  <c r="H31" i="2"/>
  <c r="H29" i="2"/>
  <c r="H27" i="2"/>
  <c r="H49" i="2"/>
  <c r="H47" i="2"/>
  <c r="H45" i="2"/>
  <c r="H43" i="2"/>
  <c r="H41" i="2"/>
  <c r="H39" i="2"/>
  <c r="H37" i="2"/>
  <c r="H35" i="2"/>
  <c r="H33" i="2"/>
  <c r="G49" i="2"/>
  <c r="G47" i="2"/>
  <c r="G45" i="2"/>
  <c r="G43" i="2"/>
  <c r="G41" i="2"/>
  <c r="G39" i="2"/>
  <c r="G37" i="2"/>
  <c r="G35" i="2"/>
  <c r="G33" i="2"/>
  <c r="G31" i="2"/>
  <c r="G29" i="2"/>
  <c r="G27" i="2"/>
  <c r="G9" i="2"/>
  <c r="G15" i="2"/>
  <c r="G19" i="2"/>
  <c r="G3" i="2"/>
  <c r="G7" i="2"/>
  <c r="K49" i="2"/>
  <c r="K45" i="2"/>
  <c r="K37" i="2"/>
  <c r="K35" i="2"/>
  <c r="K29" i="2"/>
  <c r="K27" i="2"/>
  <c r="F25" i="2"/>
  <c r="F23" i="2"/>
  <c r="F21" i="2"/>
  <c r="K19" i="2"/>
  <c r="F17" i="2"/>
  <c r="F13" i="2"/>
  <c r="F11" i="2"/>
  <c r="K9" i="2"/>
  <c r="F5" i="2"/>
  <c r="L18" i="2"/>
  <c r="L14" i="2"/>
  <c r="L8" i="2"/>
  <c r="L6" i="2"/>
  <c r="L2" i="2"/>
  <c r="A49" i="2"/>
  <c r="A47" i="2"/>
  <c r="A45" i="2"/>
  <c r="A43" i="2"/>
  <c r="A41" i="2"/>
  <c r="A39" i="2"/>
  <c r="A37" i="2"/>
  <c r="A35" i="2"/>
  <c r="A33" i="2"/>
  <c r="A31" i="2"/>
  <c r="A29" i="2"/>
  <c r="A27" i="2"/>
  <c r="A25" i="2"/>
  <c r="A23" i="2"/>
  <c r="A21" i="2"/>
  <c r="A19" i="2"/>
  <c r="A17" i="2"/>
  <c r="A15" i="2"/>
  <c r="A13" i="2"/>
  <c r="A11" i="2"/>
  <c r="A9" i="2"/>
  <c r="A7" i="2"/>
  <c r="A5" i="2"/>
  <c r="A3" i="2"/>
  <c r="A48" i="2"/>
  <c r="A46" i="2"/>
  <c r="A44" i="2"/>
  <c r="A42" i="2"/>
  <c r="A40" i="2"/>
  <c r="A38" i="2"/>
  <c r="A36" i="2"/>
  <c r="A34" i="2"/>
  <c r="A32" i="2"/>
  <c r="A30" i="2"/>
  <c r="A28" i="2"/>
  <c r="A26" i="2"/>
  <c r="A24" i="2"/>
  <c r="A22" i="2"/>
  <c r="A20" i="2"/>
  <c r="A18" i="2"/>
  <c r="A16" i="2"/>
  <c r="A14" i="2"/>
  <c r="A12" i="2"/>
  <c r="A10" i="2"/>
  <c r="A8" i="2"/>
  <c r="A6" i="2"/>
  <c r="A4" i="2"/>
  <c r="A2" i="2"/>
  <c r="E12" i="1"/>
  <c r="E49" i="2"/>
  <c r="E31" i="2"/>
  <c r="E9" i="2"/>
  <c r="E15" i="2"/>
  <c r="E19" i="2"/>
  <c r="E3" i="2"/>
  <c r="E7" i="2"/>
  <c r="D49" i="2"/>
  <c r="D31" i="2"/>
  <c r="D9" i="2"/>
  <c r="D15" i="2"/>
  <c r="D19" i="2"/>
  <c r="D3" i="2"/>
  <c r="D7" i="2"/>
  <c r="C47" i="2"/>
  <c r="C31" i="2"/>
  <c r="C9" i="2"/>
  <c r="C15" i="2"/>
  <c r="C19" i="2"/>
  <c r="C3" i="2"/>
  <c r="C7" i="2"/>
  <c r="B43" i="2"/>
  <c r="B27" i="2"/>
  <c r="B9" i="2"/>
  <c r="B15" i="2"/>
  <c r="B19" i="2"/>
  <c r="B3" i="2"/>
  <c r="B7" i="2"/>
  <c r="T23" i="1"/>
  <c r="T22" i="1"/>
  <c r="T21" i="1"/>
  <c r="T20" i="1"/>
  <c r="T19" i="1"/>
  <c r="T18" i="1"/>
  <c r="T17" i="1"/>
  <c r="Q23" i="1"/>
  <c r="Q22" i="1"/>
  <c r="Q21" i="1"/>
  <c r="Q20" i="1"/>
  <c r="Q19" i="1"/>
  <c r="Q18" i="1"/>
  <c r="Q17" i="1"/>
  <c r="N23" i="1"/>
  <c r="N22" i="1"/>
  <c r="N21" i="1"/>
  <c r="N20" i="1"/>
  <c r="N19" i="1"/>
  <c r="N18" i="1"/>
  <c r="N17" i="1"/>
  <c r="K23" i="1"/>
  <c r="K22" i="1"/>
  <c r="K21" i="1"/>
  <c r="K20" i="1"/>
  <c r="K19" i="1"/>
  <c r="K18" i="1"/>
  <c r="K17" i="1"/>
  <c r="T11" i="1"/>
  <c r="Q9" i="1"/>
  <c r="N9" i="1"/>
  <c r="N7" i="1"/>
  <c r="K12" i="1"/>
  <c r="K10" i="1"/>
  <c r="K8" i="1"/>
  <c r="K6" i="1"/>
  <c r="N6" i="1"/>
  <c r="K7" i="1"/>
  <c r="B45" i="2" l="1"/>
  <c r="C33" i="2"/>
  <c r="B37" i="2"/>
  <c r="C41" i="2"/>
  <c r="B29" i="2"/>
  <c r="B31" i="2"/>
  <c r="B39" i="2"/>
  <c r="B47" i="2"/>
  <c r="C27" i="2"/>
  <c r="C35" i="2"/>
  <c r="C43" i="2"/>
  <c r="B33" i="2"/>
  <c r="B41" i="2"/>
  <c r="B49" i="2"/>
  <c r="C29" i="2"/>
  <c r="C37" i="2"/>
  <c r="C45" i="2"/>
  <c r="B35" i="2"/>
  <c r="C39" i="2"/>
  <c r="E35" i="2"/>
  <c r="E43" i="2"/>
  <c r="E37" i="2"/>
  <c r="E45" i="2"/>
  <c r="E39" i="2"/>
  <c r="E47" i="2"/>
  <c r="E33" i="2"/>
  <c r="E41" i="2"/>
  <c r="E27" i="2"/>
  <c r="E29" i="2"/>
  <c r="D35" i="2"/>
  <c r="D43" i="2"/>
  <c r="D37" i="2"/>
  <c r="D45" i="2"/>
  <c r="D39" i="2"/>
  <c r="D47" i="2"/>
  <c r="D33" i="2"/>
  <c r="D41" i="2"/>
  <c r="D27" i="2"/>
  <c r="D29" i="2"/>
  <c r="K9" i="1"/>
  <c r="T10" i="1"/>
  <c r="Q6" i="1"/>
  <c r="Q10" i="1"/>
  <c r="T7" i="1"/>
  <c r="T12" i="1"/>
  <c r="T6" i="1"/>
  <c r="Q7" i="1"/>
  <c r="Q11" i="1"/>
  <c r="T8" i="1"/>
  <c r="Q8" i="1"/>
  <c r="Q12" i="1"/>
  <c r="T9" i="1"/>
  <c r="N11" i="1"/>
  <c r="N12" i="1"/>
  <c r="K11" i="1"/>
  <c r="N8" i="1"/>
  <c r="N10" i="1"/>
  <c r="E10" i="1"/>
  <c r="E11" i="1"/>
  <c r="F9" i="2" l="1"/>
  <c r="F15" i="2"/>
  <c r="F19" i="2"/>
  <c r="F3" i="2"/>
  <c r="F7" i="2"/>
  <c r="C8" i="2"/>
  <c r="C14" i="2"/>
  <c r="C18" i="2"/>
  <c r="C2" i="2"/>
  <c r="C6" i="2"/>
  <c r="B8" i="2"/>
  <c r="B14" i="2"/>
  <c r="B18" i="2"/>
  <c r="B2" i="2"/>
  <c r="B6" i="2"/>
  <c r="L48" i="2"/>
  <c r="L46" i="2"/>
  <c r="L44" i="2"/>
  <c r="L42" i="2"/>
  <c r="L40" i="2"/>
  <c r="L38" i="2"/>
  <c r="L36" i="2"/>
  <c r="L34" i="2"/>
  <c r="L32" i="2"/>
  <c r="L30" i="2"/>
  <c r="L28" i="2"/>
  <c r="L26" i="2"/>
  <c r="B28" i="2" l="1"/>
  <c r="B26" i="2"/>
  <c r="B30" i="2"/>
  <c r="C30" i="2"/>
  <c r="C28" i="2"/>
  <c r="C26" i="2"/>
  <c r="F49" i="2"/>
  <c r="F41" i="2"/>
  <c r="F33" i="2"/>
  <c r="F45" i="2"/>
  <c r="F37" i="2"/>
  <c r="F43" i="2"/>
  <c r="F35" i="2"/>
  <c r="F47" i="2"/>
  <c r="F39" i="2"/>
  <c r="F27" i="2"/>
  <c r="F29" i="2"/>
  <c r="F31" i="2"/>
  <c r="E14" i="2"/>
  <c r="D14" i="2"/>
  <c r="E6" i="2"/>
  <c r="E8" i="2"/>
  <c r="D6" i="2"/>
  <c r="D8" i="2"/>
  <c r="E2" i="2"/>
  <c r="D18" i="2"/>
  <c r="D2" i="2"/>
  <c r="E18" i="2"/>
  <c r="E30" i="2"/>
  <c r="E28" i="2"/>
  <c r="E26" i="2"/>
  <c r="D30" i="2"/>
  <c r="D28" i="2"/>
  <c r="D26" i="2"/>
  <c r="J30" i="2"/>
  <c r="I30" i="2"/>
  <c r="H30" i="2"/>
  <c r="G30" i="2"/>
  <c r="J28" i="2"/>
  <c r="I28" i="2"/>
  <c r="H28" i="2"/>
  <c r="G28" i="2"/>
  <c r="J48" i="2"/>
  <c r="I48" i="2"/>
  <c r="H48" i="2"/>
  <c r="G48" i="2"/>
  <c r="J46" i="2"/>
  <c r="I46" i="2"/>
  <c r="H46" i="2"/>
  <c r="G46" i="2"/>
  <c r="J44" i="2"/>
  <c r="I44" i="2"/>
  <c r="H44" i="2"/>
  <c r="G44" i="2"/>
  <c r="J42" i="2"/>
  <c r="I42" i="2"/>
  <c r="H42" i="2"/>
  <c r="G42" i="2"/>
  <c r="J40" i="2"/>
  <c r="I40" i="2"/>
  <c r="H40" i="2"/>
  <c r="G40" i="2"/>
  <c r="J38" i="2"/>
  <c r="I38" i="2"/>
  <c r="H38" i="2"/>
  <c r="G38" i="2"/>
  <c r="J36" i="2"/>
  <c r="I36" i="2"/>
  <c r="H36" i="2"/>
  <c r="G36" i="2"/>
  <c r="J34" i="2"/>
  <c r="I34" i="2"/>
  <c r="H34" i="2"/>
  <c r="G34" i="2"/>
  <c r="J32" i="2"/>
  <c r="J26" i="2"/>
  <c r="J8" i="2"/>
  <c r="J14" i="2"/>
  <c r="J18" i="2"/>
  <c r="J2" i="2"/>
  <c r="J6" i="2"/>
  <c r="I32" i="2"/>
  <c r="I26" i="2"/>
  <c r="I8" i="2"/>
  <c r="I14" i="2"/>
  <c r="I18" i="2"/>
  <c r="I2" i="2"/>
  <c r="I6" i="2"/>
  <c r="H32" i="2"/>
  <c r="H26" i="2"/>
  <c r="H8" i="2"/>
  <c r="H14" i="2"/>
  <c r="H18" i="2"/>
  <c r="H2" i="2"/>
  <c r="H6" i="2"/>
  <c r="G32" i="2"/>
  <c r="G26" i="2"/>
  <c r="G8" i="2"/>
  <c r="G14" i="2"/>
  <c r="G18" i="2"/>
  <c r="G2" i="2"/>
  <c r="G6" i="2"/>
  <c r="K18" i="2" l="1"/>
  <c r="K32" i="2"/>
  <c r="K34" i="2"/>
  <c r="K2" i="2"/>
  <c r="K36" i="2"/>
  <c r="K6" i="2"/>
  <c r="K8" i="2"/>
  <c r="K14" i="2"/>
  <c r="K38" i="2"/>
  <c r="K40" i="2"/>
  <c r="K42" i="2"/>
  <c r="K44" i="2"/>
  <c r="K46" i="2"/>
  <c r="K48" i="2"/>
  <c r="K28" i="2"/>
  <c r="K30" i="2"/>
  <c r="K26" i="2"/>
  <c r="E6" i="1" l="1"/>
  <c r="E5" i="1"/>
  <c r="F24" i="2" l="1"/>
  <c r="F22" i="2"/>
  <c r="F20" i="2"/>
  <c r="F16" i="2"/>
  <c r="F12" i="2"/>
  <c r="F10" i="2"/>
  <c r="F4" i="2"/>
  <c r="D48" i="2"/>
  <c r="D46" i="2"/>
  <c r="D44" i="2"/>
  <c r="D42" i="2"/>
  <c r="D40" i="2"/>
  <c r="D38" i="2"/>
  <c r="D36" i="2"/>
  <c r="D34" i="2"/>
  <c r="D32" i="2"/>
  <c r="B48" i="2"/>
  <c r="B46" i="2"/>
  <c r="B44" i="2"/>
  <c r="B42" i="2"/>
  <c r="B40" i="2"/>
  <c r="B38" i="2"/>
  <c r="B36" i="2"/>
  <c r="B34" i="2"/>
  <c r="B32" i="2"/>
  <c r="E42" i="2"/>
  <c r="C42" i="2"/>
  <c r="F2" i="2" l="1"/>
  <c r="F6" i="2"/>
  <c r="F26" i="2"/>
  <c r="F42" i="2"/>
  <c r="F14" i="2"/>
  <c r="F8" i="2"/>
  <c r="C44" i="2"/>
  <c r="C46" i="2"/>
  <c r="E36" i="2"/>
  <c r="E44" i="2"/>
  <c r="C36" i="2"/>
  <c r="E38" i="2"/>
  <c r="E46" i="2"/>
  <c r="C38" i="2"/>
  <c r="E32" i="2"/>
  <c r="E40" i="2"/>
  <c r="E48" i="2"/>
  <c r="E34" i="2"/>
  <c r="F18" i="2"/>
  <c r="C32" i="2"/>
  <c r="C40" i="2"/>
  <c r="C48" i="2"/>
  <c r="C34" i="2"/>
  <c r="F34" i="2" l="1"/>
  <c r="F40" i="2"/>
  <c r="F28" i="2"/>
  <c r="F44" i="2"/>
  <c r="F48" i="2"/>
  <c r="F38" i="2"/>
  <c r="F36" i="2"/>
  <c r="F46" i="2"/>
  <c r="F32" i="2"/>
  <c r="F30" i="2"/>
  <c r="C15" i="1" l="1"/>
  <c r="E9" i="1"/>
  <c r="E8" i="1"/>
  <c r="E7" i="1"/>
  <c r="C21" i="1" l="1"/>
  <c r="C13" i="1"/>
  <c r="C14" i="1"/>
  <c r="E15" i="1"/>
  <c r="E13" i="1"/>
  <c r="E14" i="1"/>
</calcChain>
</file>

<file path=xl/sharedStrings.xml><?xml version="1.0" encoding="utf-8"?>
<sst xmlns="http://schemas.openxmlformats.org/spreadsheetml/2006/main" count="176" uniqueCount="82">
  <si>
    <t>Select the Development Category:</t>
  </si>
  <si>
    <t>Development Category</t>
  </si>
  <si>
    <t>Development Type</t>
  </si>
  <si>
    <t>&lt;Select a Category&gt;</t>
  </si>
  <si>
    <t>New Construction</t>
  </si>
  <si>
    <t>Rehabilitation</t>
  </si>
  <si>
    <t>&lt;Select a Type&gt;</t>
  </si>
  <si>
    <t>Garden</t>
  </si>
  <si>
    <t>Mid-Rise</t>
  </si>
  <si>
    <t>High-Rise</t>
  </si>
  <si>
    <t>Non-Garden</t>
  </si>
  <si>
    <t>Select the Development Type:</t>
  </si>
  <si>
    <t>Concrete</t>
  </si>
  <si>
    <t>&lt;Select an Option&gt;</t>
  </si>
  <si>
    <t>Wood</t>
  </si>
  <si>
    <t>Combination</t>
  </si>
  <si>
    <t>Building</t>
  </si>
  <si>
    <t>Rehab</t>
  </si>
  <si>
    <t>SAIL Request Amount:</t>
  </si>
  <si>
    <t>Total Develpoment Cost:</t>
  </si>
  <si>
    <t>Data Yr</t>
  </si>
  <si>
    <t>&lt;Select a Year&gt;</t>
  </si>
  <si>
    <t>2015-2016</t>
  </si>
  <si>
    <t>2016-2017</t>
  </si>
  <si>
    <t>Formula Driven</t>
  </si>
  <si>
    <t>Invalid Selection(s)</t>
  </si>
  <si>
    <t>NC Garden-Wood</t>
  </si>
  <si>
    <t>NC Garden-Concrete</t>
  </si>
  <si>
    <t>NC Mid-Rise-Wood</t>
  </si>
  <si>
    <t>NC Mid-Rise-Concrete</t>
  </si>
  <si>
    <t>NC High-Rise</t>
  </si>
  <si>
    <t>Garden - Rehab</t>
  </si>
  <si>
    <t>Non-Garden - Rehab</t>
  </si>
  <si>
    <t>Select Concrete, Wood or Rehab Construction:</t>
  </si>
  <si>
    <t>Select a TDC PU Limitation Data Year:</t>
  </si>
  <si>
    <t>TDC PU Limits</t>
  </si>
  <si>
    <t>Select a TDC PU Limitation Geography:</t>
  </si>
  <si>
    <t>2015-16 SE</t>
  </si>
  <si>
    <t>2015-16 Not SE</t>
  </si>
  <si>
    <t>2016-17 SE</t>
  </si>
  <si>
    <t>2016-17 Not SE</t>
  </si>
  <si>
    <t>Geography</t>
  </si>
  <si>
    <t>&lt;Select Area&gt;</t>
  </si>
  <si>
    <t>Miami-Dade/Broward</t>
  </si>
  <si>
    <t>Not Miami-Dade/Broward</t>
  </si>
  <si>
    <t>Development-Type</t>
  </si>
  <si>
    <t>2015-16 M-D/B</t>
  </si>
  <si>
    <t>2015-16 Not M-D/B</t>
  </si>
  <si>
    <t>2016-17 Multiplier M-D/B</t>
  </si>
  <si>
    <t>2016-17 Multiplier Not M-D/B</t>
  </si>
  <si>
    <t>Impact Ratio</t>
  </si>
  <si>
    <t>Example of Proposed SAIL Leveraging for RFA 2016-109</t>
  </si>
  <si>
    <t>TDC PU Limits herein are listed for Bond/SAIL Transactions</t>
  </si>
  <si>
    <t>Leveraging Factor</t>
  </si>
  <si>
    <t>Development Type Multipler</t>
  </si>
  <si>
    <r>
      <rPr>
        <b/>
        <sz val="11"/>
        <color theme="1"/>
        <rFont val="Calibri"/>
        <family val="2"/>
        <scheme val="minor"/>
      </rPr>
      <t xml:space="preserve">2015-2016 </t>
    </r>
    <r>
      <rPr>
        <sz val="11"/>
        <color theme="1"/>
        <rFont val="Calibri"/>
        <family val="2"/>
        <scheme val="minor"/>
      </rPr>
      <t xml:space="preserve">Leveraging Factors
</t>
    </r>
    <r>
      <rPr>
        <u/>
        <sz val="11"/>
        <color theme="1"/>
        <rFont val="Calibri"/>
        <family val="2"/>
        <scheme val="minor"/>
      </rPr>
      <t>Miami-Dade &amp; Broward</t>
    </r>
  </si>
  <si>
    <r>
      <rPr>
        <b/>
        <sz val="11"/>
        <color theme="1"/>
        <rFont val="Calibri"/>
        <family val="2"/>
        <scheme val="minor"/>
      </rPr>
      <t>2015-2016</t>
    </r>
    <r>
      <rPr>
        <sz val="11"/>
        <color theme="1"/>
        <rFont val="Calibri"/>
        <family val="2"/>
        <scheme val="minor"/>
      </rPr>
      <t xml:space="preserve"> Leveraging Factors
</t>
    </r>
    <r>
      <rPr>
        <b/>
        <u/>
        <sz val="11"/>
        <color theme="1"/>
        <rFont val="Calibri"/>
        <family val="2"/>
        <scheme val="minor"/>
      </rPr>
      <t>Not in</t>
    </r>
    <r>
      <rPr>
        <u/>
        <sz val="11"/>
        <color theme="1"/>
        <rFont val="Calibri"/>
        <family val="2"/>
        <scheme val="minor"/>
      </rPr>
      <t xml:space="preserve"> Miami-Dade or Broward</t>
    </r>
  </si>
  <si>
    <r>
      <rPr>
        <b/>
        <sz val="11"/>
        <color theme="1"/>
        <rFont val="Calibri"/>
        <family val="2"/>
        <scheme val="minor"/>
      </rPr>
      <t>2016-2017</t>
    </r>
    <r>
      <rPr>
        <sz val="11"/>
        <color theme="1"/>
        <rFont val="Calibri"/>
        <family val="2"/>
        <scheme val="minor"/>
      </rPr>
      <t xml:space="preserve"> Leveraging Factors
</t>
    </r>
    <r>
      <rPr>
        <u/>
        <sz val="11"/>
        <color theme="1"/>
        <rFont val="Calibri"/>
        <family val="2"/>
        <scheme val="minor"/>
      </rPr>
      <t>Miami-Dade &amp; Broward</t>
    </r>
  </si>
  <si>
    <r>
      <rPr>
        <b/>
        <sz val="11"/>
        <color theme="1"/>
        <rFont val="Calibri"/>
        <family val="2"/>
        <scheme val="minor"/>
      </rPr>
      <t>2016-2017</t>
    </r>
    <r>
      <rPr>
        <sz val="11"/>
        <color theme="1"/>
        <rFont val="Calibri"/>
        <family val="2"/>
        <scheme val="minor"/>
      </rPr>
      <t xml:space="preserve"> Leveraging Factors
</t>
    </r>
    <r>
      <rPr>
        <b/>
        <u/>
        <sz val="11"/>
        <color theme="1"/>
        <rFont val="Calibri"/>
        <family val="2"/>
        <scheme val="minor"/>
      </rPr>
      <t>Not in</t>
    </r>
    <r>
      <rPr>
        <u/>
        <sz val="11"/>
        <color theme="1"/>
        <rFont val="Calibri"/>
        <family val="2"/>
        <scheme val="minor"/>
      </rPr>
      <t xml:space="preserve"> Miami-Dade or Broward</t>
    </r>
  </si>
  <si>
    <t>Is the PHA $5,000 TDC Add-on Applicable?</t>
  </si>
  <si>
    <t>Add-On</t>
  </si>
  <si>
    <t>No</t>
  </si>
  <si>
    <t>Yes</t>
  </si>
  <si>
    <t>For Applicants that have
a PHA as a Principal</t>
  </si>
  <si>
    <r>
      <t xml:space="preserve">For Applicants that do </t>
    </r>
    <r>
      <rPr>
        <b/>
        <u/>
        <sz val="11"/>
        <color theme="1"/>
        <rFont val="Calibri"/>
        <family val="2"/>
        <scheme val="minor"/>
      </rPr>
      <t>NOT</t>
    </r>
    <r>
      <rPr>
        <b/>
        <sz val="11"/>
        <color theme="1"/>
        <rFont val="Calibri"/>
        <family val="2"/>
        <scheme val="minor"/>
      </rPr>
      <t xml:space="preserve">
have a PHA as a Principal</t>
    </r>
  </si>
  <si>
    <t>Informational Only</t>
  </si>
  <si>
    <t>Overall Leveraging Level
Percentage Equation:</t>
  </si>
  <si>
    <t>‡The result of this parenthetical math is to be rounded to three (3) decimal places and the result of the overall equation is to be rounded to two (2) decimal percentage places.</t>
  </si>
  <si>
    <t>Development-Type Impact Ratio:</t>
  </si>
  <si>
    <t>Total Number of Units:</t>
  </si>
  <si>
    <t>Total SAIL Set-Aside Percentage:</t>
  </si>
  <si>
    <t>Total Number of SAIL Set-Aside Units:</t>
  </si>
  <si>
    <t>Impact Ratios
Miami-Dade or Broward</t>
  </si>
  <si>
    <r>
      <t xml:space="preserve">Impact Ratios, </t>
    </r>
    <r>
      <rPr>
        <b/>
        <u/>
        <sz val="11"/>
        <color theme="1"/>
        <rFont val="Calibri"/>
        <family val="2"/>
        <scheme val="minor"/>
      </rPr>
      <t>Not in</t>
    </r>
    <r>
      <rPr>
        <sz val="11"/>
        <color theme="1"/>
        <rFont val="Calibri"/>
        <family val="2"/>
        <scheme val="minor"/>
      </rPr>
      <t xml:space="preserve">
Miami-Dade or Broward</t>
    </r>
  </si>
  <si>
    <t>Infill SAIL $ SE</t>
  </si>
  <si>
    <t>Infill SAIL $ Not SE</t>
  </si>
  <si>
    <t>Infill TDC $ Not SE</t>
  </si>
  <si>
    <t>Infill TDC $ SE</t>
  </si>
  <si>
    <t>LLP SE</t>
  </si>
  <si>
    <t>LLP Not SE</t>
  </si>
  <si>
    <t>C6: =VLOOKUP(C7&amp;C8&amp;C9&amp;C12,DataFields,IF(C10="Miami-Dade/Broward",15,16))</t>
  </si>
  <si>
    <t>C5: =VLOOKUP(C7&amp;C8&amp;C9&amp;C12,DataFields,IF(C10="Miami-Dade/Broward",13,14))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</si>
</sst>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164" formatCode="#,##0.000_);[Red]\(#,##0.000\)"/>
    <numFmt numFmtId="165" formatCode="0.000%"/>
    <numFmt numFmtId="166" formatCode="#,##0.0000_);[Red]\(#,##0.0000\)"/>
    <numFmt numFmtId="167" formatCode="&quot;$&quot;#,##0.00000_);[Red]\(&quot;$&quot;#,##0.00000\)"/>
    <numFmt numFmtId="168" formatCode="0.0000%"/>
    <numFmt numFmtId="169" formatCode="#,##0.00%"/>
  </numFmts>
  <fonts count="12" x14ac:knownFonts="1">
    <font>
      <sz val="11"/>
      <color theme="1"/>
      <name val="Calibri"/>
      <family val="2"/>
      <scheme val="minor"/>
    </font>
    <font>
      <sz val="11"/>
      <color theme="1"/>
      <name val="Calibri"/>
      <family val="2"/>
      <scheme val="minor"/>
    </font>
    <font>
      <sz val="11"/>
      <color rgb="FF0000FF"/>
      <name val="Calibri"/>
      <family val="2"/>
      <scheme val="minor"/>
    </font>
    <font>
      <sz val="11"/>
      <name val="Calibri"/>
      <family val="2"/>
      <scheme val="minor"/>
    </font>
    <font>
      <u/>
      <sz val="11"/>
      <color theme="1"/>
      <name val="Calibri"/>
      <family val="2"/>
      <scheme val="minor"/>
    </font>
    <font>
      <sz val="11"/>
      <color theme="5" tint="-0.249977111117893"/>
      <name val="Calibri"/>
      <family val="2"/>
      <scheme val="minor"/>
    </font>
    <font>
      <b/>
      <u/>
      <sz val="16"/>
      <color theme="1"/>
      <name val="Calibri"/>
      <family val="2"/>
      <scheme val="minor"/>
    </font>
    <font>
      <b/>
      <sz val="11"/>
      <color theme="1"/>
      <name val="Calibri"/>
      <family val="2"/>
      <scheme val="minor"/>
    </font>
    <font>
      <b/>
      <u/>
      <sz val="11"/>
      <color theme="1"/>
      <name val="Calibri"/>
      <family val="2"/>
      <scheme val="minor"/>
    </font>
    <font>
      <b/>
      <sz val="11"/>
      <name val="Calibri"/>
      <family val="2"/>
      <scheme val="minor"/>
    </font>
    <font>
      <sz val="11"/>
      <color theme="1"/>
      <name val="Calibri"/>
      <family val="2"/>
    </font>
    <font>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mediumGray">
        <fgColor rgb="FFFFFFCC"/>
        <bgColor theme="0"/>
      </patternFill>
    </fill>
    <fill>
      <patternFill patternType="solid">
        <fgColor theme="0"/>
        <bgColor theme="0"/>
      </patternFill>
    </fill>
    <fill>
      <patternFill patternType="lightUp">
        <fgColor theme="0" tint="-0.34998626667073579"/>
        <bgColor indexed="65"/>
      </patternFill>
    </fill>
  </fills>
  <borders count="42">
    <border>
      <left/>
      <right/>
      <top/>
      <bottom/>
      <diagonal/>
    </border>
    <border>
      <left/>
      <right/>
      <top/>
      <bottom style="thin">
        <color rgb="FF0000FF"/>
      </bottom>
      <diagonal/>
    </border>
    <border>
      <left/>
      <right/>
      <top/>
      <bottom style="thin">
        <color indexed="64"/>
      </bottom>
      <diagonal/>
    </border>
    <border>
      <left/>
      <right/>
      <top style="thin">
        <color rgb="FF0000FF"/>
      </top>
      <bottom style="thin">
        <color rgb="FF0000FF"/>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style="thin">
        <color rgb="FF0000FF"/>
      </top>
      <bottom style="thin">
        <color indexed="64"/>
      </bottom>
      <diagonal/>
    </border>
    <border>
      <left/>
      <right style="thin">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thin">
        <color rgb="FF0000FF"/>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37">
    <xf numFmtId="0" fontId="0" fillId="0" borderId="0" xfId="0"/>
    <xf numFmtId="0" fontId="0" fillId="0" borderId="0" xfId="0" applyFont="1"/>
    <xf numFmtId="0" fontId="5" fillId="0" borderId="0" xfId="0" applyFont="1"/>
    <xf numFmtId="0" fontId="6" fillId="2" borderId="0" xfId="0" applyFont="1" applyFill="1" applyProtection="1"/>
    <xf numFmtId="0" fontId="0" fillId="2" borderId="0" xfId="0" applyFill="1" applyProtection="1"/>
    <xf numFmtId="0" fontId="0" fillId="2" borderId="0" xfId="0" applyFill="1" applyBorder="1" applyProtection="1"/>
    <xf numFmtId="0" fontId="0" fillId="2" borderId="0" xfId="0" applyFill="1" applyAlignment="1" applyProtection="1">
      <alignment horizontal="right"/>
    </xf>
    <xf numFmtId="164" fontId="3" fillId="2" borderId="10" xfId="0" applyNumberFormat="1" applyFont="1" applyFill="1" applyBorder="1" applyAlignment="1" applyProtection="1">
      <alignment horizontal="center" vertical="center"/>
    </xf>
    <xf numFmtId="164" fontId="3" fillId="2" borderId="15" xfId="0" applyNumberFormat="1" applyFont="1" applyFill="1" applyBorder="1" applyAlignment="1" applyProtection="1">
      <alignment horizontal="center" vertical="center"/>
    </xf>
    <xf numFmtId="0" fontId="0" fillId="2" borderId="17" xfId="0" applyFill="1" applyBorder="1" applyProtection="1"/>
    <xf numFmtId="164" fontId="0" fillId="0" borderId="0" xfId="0" quotePrefix="1" applyNumberFormat="1" applyFont="1" applyAlignment="1">
      <alignment horizontal="right"/>
    </xf>
    <xf numFmtId="0" fontId="0" fillId="0" borderId="0" xfId="0" applyAlignment="1">
      <alignment horizontal="right"/>
    </xf>
    <xf numFmtId="38" fontId="3" fillId="0" borderId="0" xfId="0" applyNumberFormat="1" applyFont="1" applyFill="1" applyBorder="1" applyAlignment="1">
      <alignment horizontal="right"/>
    </xf>
    <xf numFmtId="164" fontId="0" fillId="5" borderId="0" xfId="0" quotePrefix="1" applyNumberFormat="1" applyFont="1" applyFill="1" applyAlignment="1">
      <alignment horizontal="right"/>
    </xf>
    <xf numFmtId="0" fontId="0" fillId="5" borderId="0" xfId="0" applyFill="1"/>
    <xf numFmtId="164" fontId="3" fillId="2" borderId="19" xfId="0" applyNumberFormat="1" applyFont="1" applyFill="1" applyBorder="1" applyAlignment="1" applyProtection="1">
      <alignment horizontal="center" vertical="center"/>
    </xf>
    <xf numFmtId="164" fontId="3" fillId="2" borderId="7" xfId="0" applyNumberFormat="1" applyFont="1" applyFill="1" applyBorder="1" applyAlignment="1" applyProtection="1">
      <alignment horizontal="center" vertical="center"/>
    </xf>
    <xf numFmtId="0" fontId="0" fillId="2" borderId="2" xfId="0" applyFill="1" applyBorder="1" applyAlignment="1" applyProtection="1">
      <alignment horizontal="center"/>
    </xf>
    <xf numFmtId="9" fontId="3" fillId="0" borderId="0" xfId="1" applyFont="1" applyFill="1" applyBorder="1" applyAlignment="1">
      <alignment horizontal="right"/>
    </xf>
    <xf numFmtId="9" fontId="0" fillId="5" borderId="0" xfId="1" applyFont="1" applyFill="1"/>
    <xf numFmtId="9" fontId="0" fillId="5" borderId="0" xfId="1" quotePrefix="1" applyFont="1" applyFill="1" applyAlignment="1">
      <alignment horizontal="right"/>
    </xf>
    <xf numFmtId="0" fontId="0" fillId="2" borderId="0" xfId="0" quotePrefix="1" applyFill="1" applyAlignment="1" applyProtection="1">
      <alignment vertical="center"/>
    </xf>
    <xf numFmtId="0" fontId="0" fillId="2" borderId="0" xfId="0" applyFill="1" applyAlignment="1" applyProtection="1"/>
    <xf numFmtId="164" fontId="3" fillId="4" borderId="10" xfId="0" applyNumberFormat="1" applyFont="1" applyFill="1" applyBorder="1" applyAlignment="1" applyProtection="1">
      <alignment horizontal="center" vertical="center"/>
    </xf>
    <xf numFmtId="164" fontId="3" fillId="4" borderId="19" xfId="0" applyNumberFormat="1" applyFont="1" applyFill="1" applyBorder="1" applyAlignment="1" applyProtection="1">
      <alignment horizontal="center" vertical="center"/>
    </xf>
    <xf numFmtId="38" fontId="3" fillId="4" borderId="9" xfId="0" applyNumberFormat="1" applyFont="1" applyFill="1" applyBorder="1" applyAlignment="1" applyProtection="1">
      <alignment horizontal="center" vertical="center"/>
    </xf>
    <xf numFmtId="38" fontId="3" fillId="4" borderId="23" xfId="0" applyNumberFormat="1" applyFont="1" applyFill="1" applyBorder="1" applyAlignment="1" applyProtection="1">
      <alignment horizontal="center" vertical="center"/>
    </xf>
    <xf numFmtId="0" fontId="8" fillId="0" borderId="0" xfId="0" applyFont="1"/>
    <xf numFmtId="0" fontId="8" fillId="0" borderId="0" xfId="0" applyFont="1" applyAlignment="1">
      <alignment horizontal="right"/>
    </xf>
    <xf numFmtId="0" fontId="8" fillId="0" borderId="0" xfId="0" applyFont="1" applyAlignment="1">
      <alignment horizontal="center"/>
    </xf>
    <xf numFmtId="38" fontId="3" fillId="4" borderId="14" xfId="0" applyNumberFormat="1" applyFont="1" applyFill="1" applyBorder="1" applyAlignment="1" applyProtection="1">
      <alignment horizontal="center" vertical="center"/>
    </xf>
    <xf numFmtId="38" fontId="3" fillId="4" borderId="6" xfId="0" applyNumberFormat="1" applyFont="1" applyFill="1" applyBorder="1" applyAlignment="1" applyProtection="1">
      <alignment horizontal="center" vertical="center"/>
    </xf>
    <xf numFmtId="165" fontId="0" fillId="2" borderId="0" xfId="1" applyNumberFormat="1" applyFont="1" applyFill="1" applyAlignment="1" applyProtection="1"/>
    <xf numFmtId="0" fontId="0" fillId="2" borderId="15" xfId="0" applyFill="1" applyBorder="1" applyAlignment="1" applyProtection="1"/>
    <xf numFmtId="0" fontId="0" fillId="2" borderId="0" xfId="0" quotePrefix="1" applyFill="1" applyAlignment="1" applyProtection="1"/>
    <xf numFmtId="0" fontId="0" fillId="2" borderId="0" xfId="0" quotePrefix="1" applyFill="1" applyBorder="1" applyAlignment="1" applyProtection="1"/>
    <xf numFmtId="0" fontId="0" fillId="2" borderId="0" xfId="0" quotePrefix="1" applyFill="1" applyAlignment="1" applyProtection="1">
      <alignment vertical="center" wrapText="1"/>
    </xf>
    <xf numFmtId="0" fontId="0" fillId="4" borderId="17" xfId="0" applyFill="1" applyBorder="1" applyAlignment="1" applyProtection="1">
      <alignment vertical="center"/>
    </xf>
    <xf numFmtId="38" fontId="3" fillId="4" borderId="27" xfId="0" applyNumberFormat="1" applyFont="1" applyFill="1" applyBorder="1" applyAlignment="1" applyProtection="1">
      <alignment horizontal="center" vertical="center"/>
    </xf>
    <xf numFmtId="164" fontId="3" fillId="4" borderId="29" xfId="0" applyNumberFormat="1" applyFont="1" applyFill="1" applyBorder="1" applyAlignment="1" applyProtection="1">
      <alignment horizontal="center" vertical="center"/>
    </xf>
    <xf numFmtId="38" fontId="3" fillId="4" borderId="30" xfId="0" applyNumberFormat="1" applyFont="1" applyFill="1" applyBorder="1" applyAlignment="1" applyProtection="1">
      <alignment horizontal="center" vertical="center"/>
    </xf>
    <xf numFmtId="164" fontId="3" fillId="2" borderId="31" xfId="0" applyNumberFormat="1" applyFont="1" applyFill="1" applyBorder="1" applyAlignment="1" applyProtection="1">
      <alignment horizontal="center" vertical="center"/>
    </xf>
    <xf numFmtId="164" fontId="3" fillId="2" borderId="29"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166" fontId="3" fillId="2" borderId="0" xfId="0" applyNumberFormat="1" applyFont="1" applyFill="1" applyBorder="1" applyAlignment="1" applyProtection="1">
      <alignment horizontal="center" vertical="center"/>
    </xf>
    <xf numFmtId="166" fontId="3" fillId="4" borderId="0" xfId="0" applyNumberFormat="1" applyFont="1" applyFill="1" applyBorder="1" applyAlignment="1" applyProtection="1">
      <alignment horizontal="center" vertical="center"/>
    </xf>
    <xf numFmtId="166" fontId="3" fillId="4" borderId="28" xfId="0" applyNumberFormat="1" applyFont="1" applyFill="1" applyBorder="1" applyAlignment="1" applyProtection="1">
      <alignment horizontal="center" vertical="center"/>
    </xf>
    <xf numFmtId="166" fontId="3" fillId="4" borderId="16" xfId="0" applyNumberFormat="1" applyFont="1" applyFill="1" applyBorder="1" applyAlignment="1" applyProtection="1">
      <alignment horizontal="center" vertical="center"/>
    </xf>
    <xf numFmtId="166" fontId="3" fillId="2" borderId="28" xfId="0" applyNumberFormat="1" applyFont="1" applyFill="1" applyBorder="1" applyAlignment="1" applyProtection="1">
      <alignment horizontal="center" vertical="center"/>
    </xf>
    <xf numFmtId="166" fontId="3" fillId="2" borderId="16" xfId="0" applyNumberFormat="1" applyFont="1" applyFill="1" applyBorder="1" applyAlignment="1" applyProtection="1">
      <alignment horizontal="center" vertical="center"/>
    </xf>
    <xf numFmtId="6" fontId="3" fillId="2" borderId="9" xfId="0" applyNumberFormat="1" applyFont="1" applyFill="1" applyBorder="1" applyAlignment="1" applyProtection="1">
      <alignment horizontal="center" vertical="center"/>
    </xf>
    <xf numFmtId="6" fontId="3" fillId="2" borderId="30" xfId="0" applyNumberFormat="1" applyFont="1" applyFill="1" applyBorder="1" applyAlignment="1" applyProtection="1">
      <alignment horizontal="center" vertical="center"/>
    </xf>
    <xf numFmtId="6" fontId="3" fillId="2" borderId="23" xfId="0" applyNumberFormat="1" applyFont="1" applyFill="1" applyBorder="1" applyAlignment="1" applyProtection="1">
      <alignment horizontal="center" vertical="center"/>
    </xf>
    <xf numFmtId="6" fontId="3" fillId="2" borderId="0" xfId="0" applyNumberFormat="1" applyFont="1" applyFill="1" applyBorder="1" applyAlignment="1" applyProtection="1">
      <alignment horizontal="center" vertical="center"/>
    </xf>
    <xf numFmtId="6" fontId="3" fillId="2" borderId="28" xfId="0" applyNumberFormat="1" applyFont="1" applyFill="1" applyBorder="1" applyAlignment="1" applyProtection="1">
      <alignment horizontal="center" vertical="center"/>
    </xf>
    <xf numFmtId="6" fontId="3" fillId="2" borderId="16" xfId="0" applyNumberFormat="1" applyFont="1" applyFill="1" applyBorder="1" applyAlignment="1" applyProtection="1">
      <alignment horizontal="center" vertical="center"/>
    </xf>
    <xf numFmtId="6" fontId="3" fillId="4" borderId="0" xfId="0" applyNumberFormat="1" applyFont="1" applyFill="1" applyBorder="1" applyAlignment="1" applyProtection="1">
      <alignment horizontal="center" vertical="center"/>
    </xf>
    <xf numFmtId="6" fontId="3" fillId="4" borderId="28" xfId="0" applyNumberFormat="1" applyFont="1" applyFill="1" applyBorder="1" applyAlignment="1" applyProtection="1">
      <alignment horizontal="center" vertical="center"/>
    </xf>
    <xf numFmtId="6" fontId="3" fillId="4" borderId="16" xfId="0" applyNumberFormat="1" applyFont="1" applyFill="1" applyBorder="1" applyAlignment="1" applyProtection="1">
      <alignment horizontal="center" vertical="center"/>
    </xf>
    <xf numFmtId="0" fontId="0" fillId="2" borderId="0" xfId="0" quotePrefix="1" applyFill="1" applyProtection="1"/>
    <xf numFmtId="164" fontId="11" fillId="2" borderId="10" xfId="0" applyNumberFormat="1" applyFont="1" applyFill="1" applyBorder="1" applyAlignment="1" applyProtection="1">
      <alignment horizontal="center" vertical="center"/>
    </xf>
    <xf numFmtId="164" fontId="11" fillId="4" borderId="10" xfId="0" applyNumberFormat="1" applyFont="1" applyFill="1" applyBorder="1" applyAlignment="1" applyProtection="1">
      <alignment horizontal="center" vertical="center"/>
    </xf>
    <xf numFmtId="8" fontId="3" fillId="0" borderId="0" xfId="1" applyNumberFormat="1" applyFont="1" applyFill="1" applyBorder="1" applyAlignment="1">
      <alignment horizontal="right"/>
    </xf>
    <xf numFmtId="8" fontId="0" fillId="5" borderId="0" xfId="1" applyNumberFormat="1" applyFont="1" applyFill="1"/>
    <xf numFmtId="8" fontId="0" fillId="5" borderId="0" xfId="1" quotePrefix="1" applyNumberFormat="1" applyFont="1" applyFill="1" applyAlignment="1">
      <alignment horizontal="right"/>
    </xf>
    <xf numFmtId="10" fontId="3" fillId="0" borderId="0" xfId="1" applyNumberFormat="1" applyFont="1" applyFill="1" applyBorder="1" applyAlignment="1">
      <alignment horizontal="right"/>
    </xf>
    <xf numFmtId="10" fontId="0" fillId="5" borderId="0" xfId="1" applyNumberFormat="1" applyFont="1" applyFill="1"/>
    <xf numFmtId="10" fontId="0" fillId="5" borderId="0" xfId="1" quotePrefix="1" applyNumberFormat="1" applyFont="1" applyFill="1" applyAlignment="1">
      <alignment horizontal="right"/>
    </xf>
    <xf numFmtId="167" fontId="0" fillId="2" borderId="0" xfId="0" applyNumberFormat="1" applyFill="1" applyProtection="1"/>
    <xf numFmtId="0" fontId="11" fillId="4" borderId="0" xfId="0" applyFont="1" applyFill="1" applyAlignment="1" applyProtection="1">
      <alignment horizontal="center" vertical="center"/>
    </xf>
    <xf numFmtId="169" fontId="11" fillId="4" borderId="21" xfId="1" applyNumberFormat="1" applyFont="1" applyFill="1" applyBorder="1" applyAlignment="1" applyProtection="1">
      <alignment horizontal="center" vertical="center"/>
    </xf>
    <xf numFmtId="169" fontId="3" fillId="4" borderId="21" xfId="1" applyNumberFormat="1" applyFont="1" applyFill="1" applyBorder="1" applyAlignment="1" applyProtection="1">
      <alignment horizontal="center" vertical="center"/>
    </xf>
    <xf numFmtId="169" fontId="3" fillId="4" borderId="20" xfId="1" applyNumberFormat="1" applyFont="1" applyFill="1" applyBorder="1" applyAlignment="1" applyProtection="1">
      <alignment horizontal="center" vertical="center"/>
    </xf>
    <xf numFmtId="169" fontId="3" fillId="4" borderId="22" xfId="1" applyNumberFormat="1" applyFont="1" applyFill="1" applyBorder="1" applyAlignment="1" applyProtection="1">
      <alignment horizontal="center" vertical="center"/>
    </xf>
    <xf numFmtId="0" fontId="10" fillId="2" borderId="0" xfId="0" applyFont="1" applyFill="1" applyAlignment="1" applyProtection="1">
      <alignment horizontal="left" vertical="top" wrapText="1"/>
    </xf>
    <xf numFmtId="0" fontId="0" fillId="2" borderId="4"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4" fillId="2" borderId="26" xfId="0" applyFont="1" applyFill="1" applyBorder="1" applyAlignment="1" applyProtection="1">
      <alignment horizontal="center" wrapText="1"/>
    </xf>
    <xf numFmtId="0" fontId="4" fillId="2" borderId="14" xfId="0" applyFont="1" applyFill="1" applyBorder="1" applyAlignment="1" applyProtection="1">
      <alignment horizontal="center" wrapText="1"/>
    </xf>
    <xf numFmtId="0" fontId="0" fillId="2" borderId="11"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4" fillId="2" borderId="0" xfId="0" applyFont="1" applyFill="1" applyBorder="1" applyAlignment="1" applyProtection="1">
      <alignment horizontal="center" wrapText="1"/>
    </xf>
    <xf numFmtId="0" fontId="4" fillId="2" borderId="10" xfId="0" applyFont="1" applyFill="1" applyBorder="1" applyAlignment="1" applyProtection="1">
      <alignment horizontal="center" wrapText="1"/>
    </xf>
    <xf numFmtId="0" fontId="4" fillId="2" borderId="15" xfId="0" applyFont="1" applyFill="1" applyBorder="1" applyAlignment="1" applyProtection="1">
      <alignment horizontal="center" wrapText="1"/>
    </xf>
    <xf numFmtId="0" fontId="2" fillId="3" borderId="3" xfId="0" applyFont="1" applyFill="1" applyBorder="1" applyAlignment="1" applyProtection="1">
      <alignment horizontal="right" indent="1"/>
      <protection locked="0"/>
    </xf>
    <xf numFmtId="166" fontId="3" fillId="2" borderId="18" xfId="0" quotePrefix="1" applyNumberFormat="1" applyFont="1" applyFill="1" applyBorder="1" applyAlignment="1" applyProtection="1">
      <alignment horizontal="right" indent="1"/>
    </xf>
    <xf numFmtId="166" fontId="3" fillId="2" borderId="18" xfId="0" applyNumberFormat="1" applyFont="1" applyFill="1" applyBorder="1" applyAlignment="1" applyProtection="1">
      <alignment horizontal="right" indent="1"/>
    </xf>
    <xf numFmtId="6" fontId="2" fillId="3" borderId="1" xfId="0" applyNumberFormat="1" applyFont="1" applyFill="1" applyBorder="1" applyAlignment="1" applyProtection="1">
      <alignment horizontal="right" indent="1"/>
      <protection locked="0"/>
    </xf>
    <xf numFmtId="6" fontId="2" fillId="3" borderId="3" xfId="0" applyNumberFormat="1" applyFont="1" applyFill="1" applyBorder="1" applyAlignment="1" applyProtection="1">
      <alignment horizontal="right" indent="1"/>
      <protection locked="0"/>
    </xf>
    <xf numFmtId="0" fontId="0" fillId="2" borderId="0" xfId="0" quotePrefix="1" applyFill="1" applyAlignment="1" applyProtection="1">
      <alignment horizontal="left" vertical="center" wrapText="1"/>
    </xf>
    <xf numFmtId="38" fontId="2" fillId="3" borderId="25" xfId="0" applyNumberFormat="1" applyFont="1" applyFill="1" applyBorder="1" applyAlignment="1" applyProtection="1">
      <alignment horizontal="right" indent="1"/>
      <protection locked="0"/>
    </xf>
    <xf numFmtId="38" fontId="0" fillId="2" borderId="25" xfId="0" applyNumberFormat="1" applyFill="1" applyBorder="1" applyAlignment="1" applyProtection="1">
      <alignment horizontal="right" indent="1"/>
    </xf>
    <xf numFmtId="0" fontId="0" fillId="2" borderId="4" xfId="0" applyFill="1" applyBorder="1" applyAlignment="1" applyProtection="1">
      <alignment horizontal="right" vertical="center" wrapText="1"/>
    </xf>
    <xf numFmtId="0" fontId="0" fillId="2" borderId="12" xfId="0" applyFill="1" applyBorder="1" applyAlignment="1" applyProtection="1">
      <alignment horizontal="right" vertical="center" wrapText="1"/>
    </xf>
    <xf numFmtId="0" fontId="0" fillId="2" borderId="5" xfId="0" applyFill="1" applyBorder="1" applyAlignment="1" applyProtection="1">
      <alignment horizontal="right" vertical="center" wrapText="1"/>
    </xf>
    <xf numFmtId="0" fontId="3" fillId="2" borderId="14" xfId="0" applyFont="1" applyFill="1" applyBorder="1" applyAlignment="1" applyProtection="1">
      <alignment horizontal="right" vertical="center"/>
    </xf>
    <xf numFmtId="0" fontId="3" fillId="2" borderId="0" xfId="0" applyFont="1" applyFill="1" applyBorder="1" applyAlignment="1" applyProtection="1">
      <alignment horizontal="right" vertical="center"/>
    </xf>
    <xf numFmtId="0" fontId="3" fillId="2" borderId="15" xfId="0" applyFont="1" applyFill="1" applyBorder="1" applyAlignment="1" applyProtection="1">
      <alignment horizontal="right" vertical="center"/>
    </xf>
    <xf numFmtId="0" fontId="3" fillId="2" borderId="27" xfId="0" applyFont="1" applyFill="1" applyBorder="1" applyAlignment="1" applyProtection="1">
      <alignment horizontal="right" vertical="center"/>
    </xf>
    <xf numFmtId="0" fontId="3" fillId="2" borderId="28" xfId="0" applyFont="1" applyFill="1" applyBorder="1" applyAlignment="1" applyProtection="1">
      <alignment horizontal="right" vertical="center"/>
    </xf>
    <xf numFmtId="0" fontId="3" fillId="2" borderId="31" xfId="0" applyFont="1" applyFill="1" applyBorder="1" applyAlignment="1" applyProtection="1">
      <alignment horizontal="right" vertical="center"/>
    </xf>
    <xf numFmtId="0" fontId="0" fillId="2" borderId="13" xfId="0" applyFill="1" applyBorder="1" applyAlignment="1" applyProtection="1">
      <alignment horizontal="center" vertical="center" wrapText="1"/>
    </xf>
    <xf numFmtId="0" fontId="4" fillId="2" borderId="32" xfId="0" applyFont="1" applyFill="1" applyBorder="1" applyAlignment="1" applyProtection="1">
      <alignment horizontal="center" wrapText="1"/>
    </xf>
    <xf numFmtId="0" fontId="7" fillId="2" borderId="0" xfId="0" quotePrefix="1" applyFont="1" applyFill="1" applyAlignment="1" applyProtection="1">
      <alignment horizontal="right" vertical="center" wrapText="1" indent="2"/>
    </xf>
    <xf numFmtId="8" fontId="0" fillId="2" borderId="2" xfId="1" applyNumberFormat="1" applyFont="1" applyFill="1" applyBorder="1" applyAlignment="1" applyProtection="1">
      <alignment horizontal="right" indent="1"/>
    </xf>
    <xf numFmtId="9" fontId="2" fillId="3" borderId="24" xfId="1" applyFont="1" applyFill="1" applyBorder="1" applyAlignment="1" applyProtection="1">
      <alignment horizontal="right" indent="1"/>
      <protection locked="0"/>
    </xf>
    <xf numFmtId="0" fontId="3" fillId="4" borderId="3" xfId="0" applyFont="1" applyFill="1" applyBorder="1" applyAlignment="1" applyProtection="1">
      <alignment horizontal="right" indent="1"/>
      <protection locked="0"/>
    </xf>
    <xf numFmtId="168" fontId="3" fillId="2" borderId="25" xfId="1" applyNumberFormat="1" applyFont="1" applyFill="1" applyBorder="1" applyAlignment="1" applyProtection="1">
      <alignment horizontal="right" indent="1"/>
    </xf>
    <xf numFmtId="164" fontId="0" fillId="2" borderId="2" xfId="0" applyNumberFormat="1" applyFill="1" applyBorder="1" applyAlignment="1" applyProtection="1">
      <alignment horizontal="right" indent="1"/>
    </xf>
    <xf numFmtId="0" fontId="4" fillId="2" borderId="17" xfId="0" applyFont="1" applyFill="1" applyBorder="1" applyAlignment="1" applyProtection="1">
      <alignment horizontal="center" wrapText="1"/>
    </xf>
    <xf numFmtId="0" fontId="4" fillId="2" borderId="37" xfId="0" applyFont="1" applyFill="1" applyBorder="1" applyAlignment="1" applyProtection="1">
      <alignment horizontal="center" wrapText="1"/>
    </xf>
    <xf numFmtId="0" fontId="3" fillId="2" borderId="6" xfId="0" applyFont="1" applyFill="1" applyBorder="1" applyAlignment="1" applyProtection="1">
      <alignment horizontal="right" vertical="center"/>
    </xf>
    <xf numFmtId="0" fontId="3" fillId="2" borderId="16"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9" fillId="2" borderId="36"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9" fillId="2" borderId="39"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wrapText="1"/>
    </xf>
    <xf numFmtId="0" fontId="4" fillId="2" borderId="14" xfId="0" applyFont="1" applyFill="1" applyBorder="1" applyAlignment="1" applyProtection="1">
      <alignment horizontal="right"/>
    </xf>
    <xf numFmtId="0" fontId="4" fillId="2" borderId="0" xfId="0" applyFont="1" applyFill="1" applyBorder="1" applyAlignment="1" applyProtection="1">
      <alignment horizontal="right"/>
    </xf>
    <xf numFmtId="0" fontId="4" fillId="2" borderId="15" xfId="0" applyFont="1" applyFill="1" applyBorder="1" applyAlignment="1" applyProtection="1">
      <alignment horizontal="right"/>
    </xf>
    <xf numFmtId="0" fontId="4" fillId="2" borderId="38" xfId="0" applyFont="1" applyFill="1" applyBorder="1" applyAlignment="1" applyProtection="1">
      <alignment horizontal="center" wrapText="1"/>
    </xf>
    <xf numFmtId="0" fontId="4" fillId="2" borderId="9" xfId="0" applyFont="1" applyFill="1" applyBorder="1" applyAlignment="1" applyProtection="1">
      <alignment horizontal="center" wrapText="1"/>
    </xf>
    <xf numFmtId="0" fontId="7" fillId="2" borderId="26" xfId="0" applyFont="1" applyFill="1" applyBorder="1" applyAlignment="1" applyProtection="1">
      <alignment horizontal="center" wrapText="1"/>
    </xf>
    <xf numFmtId="0" fontId="7" fillId="2" borderId="32" xfId="0" applyFont="1" applyFill="1" applyBorder="1" applyAlignment="1" applyProtection="1">
      <alignment horizontal="center"/>
    </xf>
    <xf numFmtId="0" fontId="7" fillId="2" borderId="33" xfId="0" applyFont="1" applyFill="1" applyBorder="1" applyAlignment="1" applyProtection="1">
      <alignment horizontal="center"/>
    </xf>
    <xf numFmtId="0" fontId="7" fillId="2" borderId="35"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4" xfId="0" applyFont="1" applyFill="1" applyBorder="1" applyAlignment="1" applyProtection="1">
      <alignment horizontal="center"/>
    </xf>
    <xf numFmtId="0" fontId="4" fillId="2" borderId="39" xfId="0" applyFont="1" applyFill="1" applyBorder="1" applyAlignment="1" applyProtection="1">
      <alignment horizontal="center" wrapText="1"/>
    </xf>
    <xf numFmtId="0" fontId="4" fillId="2" borderId="36" xfId="0" applyFont="1" applyFill="1" applyBorder="1" applyAlignment="1" applyProtection="1">
      <alignment horizontal="center" wrapText="1"/>
    </xf>
    <xf numFmtId="0" fontId="4" fillId="2" borderId="8" xfId="0" applyFont="1" applyFill="1" applyBorder="1" applyAlignment="1" applyProtection="1">
      <alignment horizontal="center" wrapText="1"/>
    </xf>
    <xf numFmtId="0" fontId="0" fillId="2" borderId="40"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41" xfId="0" applyFill="1" applyBorder="1" applyAlignment="1" applyProtection="1">
      <alignment horizontal="center" vertical="center" wrapText="1"/>
    </xf>
  </cellXfs>
  <cellStyles count="2">
    <cellStyle name="Normal" xfId="0" builtinId="0"/>
    <cellStyle name="Percent" xfId="1" builtinId="5"/>
  </cellStyles>
  <dxfs count="96">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numFmt numFmtId="14" formatCode="0.00%"/>
    </dxf>
    <dxf>
      <font>
        <b/>
        <i val="0"/>
      </font>
      <fill>
        <patternFill>
          <bgColor rgb="FFC9FFC9"/>
        </patternFill>
      </fill>
    </dxf>
    <dxf>
      <font>
        <b/>
        <i val="0"/>
      </font>
      <fill>
        <patternFill>
          <bgColor rgb="FFC9FFC9"/>
        </patternFill>
      </fill>
    </dxf>
    <dxf>
      <fill>
        <patternFill>
          <bgColor rgb="FFC9FFC9"/>
        </patternFill>
      </fill>
    </dxf>
    <dxf>
      <fill>
        <patternFill>
          <bgColor rgb="FFC9FFC9"/>
        </patternFill>
      </fill>
    </dxf>
  </dxfs>
  <tableStyles count="0" defaultTableStyle="TableStyleMedium2" defaultPivotStyle="PivotStyleLight16"/>
  <colors>
    <mruColors>
      <color rgb="FFFFFFCC"/>
      <color rgb="FF0000FF"/>
      <color rgb="FFC9FFC9"/>
      <color rgb="FFCCFF99"/>
      <color rgb="FF99FF99"/>
      <color rgb="FFCCFFCC"/>
      <color rgb="FFFFE1FF"/>
      <color rgb="FFFFCCFF"/>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80" zoomScaleNormal="80"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37.7109375" customWidth="1"/>
    <col min="2" max="3" width="18.28515625" customWidth="1"/>
    <col min="4" max="4" width="23.5703125" customWidth="1"/>
    <col min="5" max="5" width="27.42578125" customWidth="1"/>
    <col min="6" max="6" width="18.28515625" customWidth="1"/>
    <col min="7" max="12" width="14.7109375" customWidth="1"/>
    <col min="13" max="16" width="15.85546875" hidden="1" customWidth="1"/>
    <col min="17" max="18" width="8.5703125" hidden="1" customWidth="1"/>
    <col min="19" max="19" width="21.85546875" bestFit="1" customWidth="1"/>
    <col min="20" max="20" width="18.140625" bestFit="1" customWidth="1"/>
    <col min="21" max="21" width="17.85546875" bestFit="1" customWidth="1"/>
    <col min="22" max="22" width="14.28515625" bestFit="1" customWidth="1"/>
    <col min="23" max="23" width="24.28515625" customWidth="1"/>
    <col min="24" max="27" width="14" customWidth="1"/>
  </cols>
  <sheetData>
    <row r="1" spans="1:24" x14ac:dyDescent="0.25">
      <c r="A1" s="27" t="s">
        <v>15</v>
      </c>
      <c r="B1" s="28" t="s">
        <v>46</v>
      </c>
      <c r="C1" s="28" t="s">
        <v>47</v>
      </c>
      <c r="D1" s="28" t="s">
        <v>48</v>
      </c>
      <c r="E1" s="28" t="s">
        <v>49</v>
      </c>
      <c r="F1" s="28" t="s">
        <v>24</v>
      </c>
      <c r="G1" s="29" t="s">
        <v>37</v>
      </c>
      <c r="H1" s="29" t="s">
        <v>38</v>
      </c>
      <c r="I1" s="29" t="s">
        <v>39</v>
      </c>
      <c r="J1" s="29" t="s">
        <v>40</v>
      </c>
      <c r="K1" s="28" t="s">
        <v>24</v>
      </c>
      <c r="L1" s="28" t="s">
        <v>50</v>
      </c>
      <c r="M1" s="28" t="s">
        <v>74</v>
      </c>
      <c r="N1" s="28" t="s">
        <v>75</v>
      </c>
      <c r="O1" s="28" t="s">
        <v>77</v>
      </c>
      <c r="P1" s="28" t="s">
        <v>76</v>
      </c>
      <c r="Q1" s="28" t="s">
        <v>78</v>
      </c>
      <c r="R1" s="28" t="s">
        <v>79</v>
      </c>
      <c r="S1" s="27" t="s">
        <v>1</v>
      </c>
      <c r="T1" s="27" t="s">
        <v>2</v>
      </c>
      <c r="U1" s="27" t="s">
        <v>16</v>
      </c>
      <c r="V1" s="28" t="s">
        <v>20</v>
      </c>
      <c r="W1" s="28" t="s">
        <v>41</v>
      </c>
      <c r="X1" s="28" t="s">
        <v>60</v>
      </c>
    </row>
    <row r="2" spans="1:24" x14ac:dyDescent="0.25">
      <c r="A2" s="1" t="str">
        <f>S$3&amp;T$3&amp;U$3&amp;X$3</f>
        <v>New ConstructionGardenConcreteNo</v>
      </c>
      <c r="B2" s="10">
        <f>Leveraging!L$7</f>
        <v>1.3089999999999999</v>
      </c>
      <c r="C2" s="10">
        <f>Leveraging!O$7</f>
        <v>1.284</v>
      </c>
      <c r="D2" s="10">
        <f ca="1">Leveraging!R$7</f>
        <v>1.3149999999999999</v>
      </c>
      <c r="E2" s="10">
        <f ca="1">Leveraging!U$7</f>
        <v>0.71099999999999997</v>
      </c>
      <c r="F2" s="10">
        <f ca="1">IF(Leveraging!$C$11=V$3,IF(Leveraging!$C$10=$W$3,B2,C2),IF(Leveraging!$C$11=V$4,IF(Leveraging!$C$10=$W$3,D2,E2),"Complete Selections"))</f>
        <v>0.71099999999999997</v>
      </c>
      <c r="G2" s="12">
        <f>Leveraging!J$7</f>
        <v>227300</v>
      </c>
      <c r="H2" s="12">
        <f>Leveraging!M$7</f>
        <v>219000</v>
      </c>
      <c r="I2" s="12">
        <f>Leveraging!P$7</f>
        <v>236200</v>
      </c>
      <c r="J2" s="12">
        <f>Leveraging!S$7</f>
        <v>225400</v>
      </c>
      <c r="K2" s="12" t="str">
        <f>IF(Leveraging!$C$11=V$3,IF(Leveraging!$C$10=$W$3,G2,IF(Leveraging!$C$10=$W$4,H2,"TBD")),IF(Leveraging!$C$11=V$4,IF(Leveraging!$C$10=$W$3,I2,IF(Leveraging!$C$10=$W$4,J2,"TBD")),"TBD"))</f>
        <v>TBD</v>
      </c>
      <c r="L2" s="18">
        <f>Leveraging!V$7</f>
        <v>-0.96501945525291821</v>
      </c>
      <c r="M2" s="62">
        <v>3544926.0711549302</v>
      </c>
      <c r="N2" s="62">
        <v>6285912.5</v>
      </c>
      <c r="O2" s="62">
        <v>18729250</v>
      </c>
      <c r="P2" s="62">
        <v>17959750</v>
      </c>
      <c r="Q2" s="65">
        <v>0.25</v>
      </c>
      <c r="R2" s="65">
        <v>0.25</v>
      </c>
      <c r="S2" s="1" t="s">
        <v>3</v>
      </c>
      <c r="T2" s="1" t="s">
        <v>6</v>
      </c>
      <c r="U2" s="1" t="s">
        <v>13</v>
      </c>
      <c r="V2" s="1" t="s">
        <v>21</v>
      </c>
      <c r="W2" s="1" t="s">
        <v>42</v>
      </c>
      <c r="X2" s="1" t="s">
        <v>13</v>
      </c>
    </row>
    <row r="3" spans="1:24" x14ac:dyDescent="0.25">
      <c r="A3" s="1" t="str">
        <f>S$3&amp;T$3&amp;U$3&amp;X$4</f>
        <v>New ConstructionGardenConcreteYes</v>
      </c>
      <c r="B3" s="10">
        <f>Leveraging!L$18</f>
        <v>1.2929999999999999</v>
      </c>
      <c r="C3" s="10">
        <f>Leveraging!O$18</f>
        <v>1.2709999999999999</v>
      </c>
      <c r="D3" s="10">
        <f ca="1">Leveraging!R$18</f>
        <v>1.298</v>
      </c>
      <c r="E3" s="10">
        <f ca="1">Leveraging!U$18</f>
        <v>0.70199999999999996</v>
      </c>
      <c r="F3" s="10">
        <f ca="1">IF(Leveraging!$C$11=V$3,IF(Leveraging!$C$10=$W$3,B3,C3),IF(Leveraging!$C$11=V$4,IF(Leveraging!$C$10=$W$3,D3,E3),"Complete Selections"))</f>
        <v>0.70199999999999996</v>
      </c>
      <c r="G3" s="12">
        <f>Leveraging!J$18</f>
        <v>232300</v>
      </c>
      <c r="H3" s="12">
        <f>Leveraging!M$18</f>
        <v>224000</v>
      </c>
      <c r="I3" s="12">
        <f>Leveraging!P$18</f>
        <v>241200</v>
      </c>
      <c r="J3" s="12">
        <f>Leveraging!S$18</f>
        <v>230400</v>
      </c>
      <c r="K3" s="12" t="str">
        <f>IF(Leveraging!$C$11=V$3,IF(Leveraging!$C$10=$W$3,G3,IF(Leveraging!$C$10=$W$4,H3,"TBD")),IF(Leveraging!$C$11=V$4,IF(Leveraging!$C$10=$W$3,I3,IF(Leveraging!$C$10=$W$4,J3,"TBD")),"TBD"))</f>
        <v>TBD</v>
      </c>
      <c r="L3" s="18">
        <f>Leveraging!V$18</f>
        <v>-0.87548842874543253</v>
      </c>
      <c r="M3" s="62">
        <v>3660313.1305362862</v>
      </c>
      <c r="N3" s="62">
        <v>6410600</v>
      </c>
      <c r="O3" s="62">
        <v>19085500</v>
      </c>
      <c r="P3" s="62">
        <v>18316000</v>
      </c>
      <c r="Q3" s="65">
        <v>0.25</v>
      </c>
      <c r="R3" s="65">
        <v>0.25</v>
      </c>
      <c r="S3" s="1" t="s">
        <v>4</v>
      </c>
      <c r="T3" s="1" t="s">
        <v>7</v>
      </c>
      <c r="U3" s="1" t="s">
        <v>12</v>
      </c>
      <c r="V3" s="1" t="s">
        <v>22</v>
      </c>
      <c r="W3" s="1" t="s">
        <v>43</v>
      </c>
      <c r="X3" s="1" t="s">
        <v>61</v>
      </c>
    </row>
    <row r="4" spans="1:24" x14ac:dyDescent="0.25">
      <c r="A4" s="2" t="str">
        <f>S$3&amp;T$3&amp;U$5&amp;X$3</f>
        <v>New ConstructionGardenRehabNo</v>
      </c>
      <c r="B4" s="11" t="s">
        <v>25</v>
      </c>
      <c r="C4" s="11" t="s">
        <v>25</v>
      </c>
      <c r="D4" s="11" t="s">
        <v>25</v>
      </c>
      <c r="E4" s="11" t="s">
        <v>25</v>
      </c>
      <c r="F4" s="10" t="str">
        <f>IF(Leveraging!$C$11=V$3,IF(Leveraging!$C$10=$W$3,B4,C4),IF(Leveraging!$C$11=V$4,IF(Leveraging!$C$10=$W$3,D4,E4),"Complete Selections"))</f>
        <v>Invalid Selection(s)</v>
      </c>
      <c r="G4" s="14"/>
      <c r="H4" s="14"/>
      <c r="I4" s="14"/>
      <c r="J4" s="14"/>
      <c r="K4" s="14"/>
      <c r="L4" s="19"/>
      <c r="M4" s="63"/>
      <c r="N4" s="63"/>
      <c r="O4" s="63"/>
      <c r="P4" s="63"/>
      <c r="Q4" s="66"/>
      <c r="R4" s="66"/>
      <c r="S4" s="1" t="s">
        <v>5</v>
      </c>
      <c r="T4" s="1" t="s">
        <v>8</v>
      </c>
      <c r="U4" s="1" t="s">
        <v>14</v>
      </c>
      <c r="V4" s="1" t="s">
        <v>23</v>
      </c>
      <c r="W4" s="1" t="s">
        <v>44</v>
      </c>
      <c r="X4" s="1" t="s">
        <v>62</v>
      </c>
    </row>
    <row r="5" spans="1:24" x14ac:dyDescent="0.25">
      <c r="A5" s="2" t="str">
        <f>S$3&amp;T$3&amp;U$5&amp;X$4</f>
        <v>New ConstructionGardenRehabYes</v>
      </c>
      <c r="B5" s="11" t="s">
        <v>25</v>
      </c>
      <c r="C5" s="11" t="s">
        <v>25</v>
      </c>
      <c r="D5" s="11" t="s">
        <v>25</v>
      </c>
      <c r="E5" s="11" t="s">
        <v>25</v>
      </c>
      <c r="F5" s="10" t="str">
        <f>IF(Leveraging!$C$11=V$3,IF(Leveraging!$C$10=$W$3,B5,C5),IF(Leveraging!$C$11=V$4,IF(Leveraging!$C$10=$W$3,D5,E5),"Complete Selections"))</f>
        <v>Invalid Selection(s)</v>
      </c>
      <c r="G5" s="14"/>
      <c r="H5" s="14"/>
      <c r="I5" s="14"/>
      <c r="J5" s="14"/>
      <c r="K5" s="14"/>
      <c r="L5" s="19"/>
      <c r="M5" s="63"/>
      <c r="N5" s="63"/>
      <c r="O5" s="63"/>
      <c r="P5" s="63"/>
      <c r="Q5" s="66"/>
      <c r="R5" s="66"/>
      <c r="S5" s="1"/>
      <c r="T5" s="1" t="s">
        <v>9</v>
      </c>
      <c r="U5" s="1" t="s">
        <v>17</v>
      </c>
      <c r="V5" s="1"/>
      <c r="W5" s="1"/>
    </row>
    <row r="6" spans="1:24" x14ac:dyDescent="0.25">
      <c r="A6" s="1" t="str">
        <f>S$3&amp;T$3&amp;U$4&amp;X$3</f>
        <v>New ConstructionGardenWoodNo</v>
      </c>
      <c r="B6" s="10">
        <f>Leveraging!L$6</f>
        <v>0.04</v>
      </c>
      <c r="C6" s="10">
        <f>Leveraging!O$6</f>
        <v>0.19800000000000001</v>
      </c>
      <c r="D6" s="10">
        <f ca="1">Leveraging!R$6</f>
        <v>0</v>
      </c>
      <c r="E6" s="10">
        <f ca="1">Leveraging!U$6</f>
        <v>0.80100000000000005</v>
      </c>
      <c r="F6" s="10">
        <f ca="1">IF(Leveraging!$C$11=V$3,IF(Leveraging!$C$10=$W$3,B6,C6),IF(Leveraging!$C$11=V$4,IF(Leveraging!$C$10=$W$3,D6,E6),"Complete Selections"))</f>
        <v>0.80100000000000005</v>
      </c>
      <c r="G6" s="12">
        <f>Leveraging!J$6</f>
        <v>189900</v>
      </c>
      <c r="H6" s="12">
        <f>Leveraging!M$6</f>
        <v>183000</v>
      </c>
      <c r="I6" s="12">
        <f>Leveraging!P$6</f>
        <v>197300</v>
      </c>
      <c r="J6" s="12">
        <f>Leveraging!S$6</f>
        <v>188300</v>
      </c>
      <c r="K6" s="12" t="str">
        <f>IF(Leveraging!$C$11=V$3,IF(Leveraging!$C$10=$W$3,G6,IF(Leveraging!$C$10=$W$4,H6,"TBD")),IF(Leveraging!$C$11=V$4,IF(Leveraging!$C$10=$W$3,I6,IF(Leveraging!$C$10=$W$4,J6,"TBD")),"TBD"))</f>
        <v>TBD</v>
      </c>
      <c r="L6" s="18">
        <f>Leveraging!V$6</f>
        <v>5.164921465968586</v>
      </c>
      <c r="M6" s="63"/>
      <c r="N6" s="62">
        <v>4757960.4962152811</v>
      </c>
      <c r="O6" s="63"/>
      <c r="P6" s="62">
        <v>15316375</v>
      </c>
      <c r="Q6" s="66"/>
      <c r="R6" s="65">
        <v>0.25</v>
      </c>
      <c r="S6" s="1"/>
      <c r="T6" s="1" t="s">
        <v>10</v>
      </c>
      <c r="U6" s="1"/>
      <c r="V6" s="1"/>
      <c r="W6" s="1"/>
    </row>
    <row r="7" spans="1:24" x14ac:dyDescent="0.25">
      <c r="A7" s="1" t="str">
        <f>S$3&amp;T$3&amp;U$4&amp;X$4</f>
        <v>New ConstructionGardenWoodYes</v>
      </c>
      <c r="B7" s="10">
        <f>Leveraging!L$17</f>
        <v>3.2000000000000001E-2</v>
      </c>
      <c r="C7" s="10">
        <f>Leveraging!O$17</f>
        <v>0.16800000000000001</v>
      </c>
      <c r="D7" s="10">
        <f ca="1">Leveraging!R$17</f>
        <v>0</v>
      </c>
      <c r="E7" s="10">
        <f ca="1">Leveraging!U$17</f>
        <v>0.77500000000000002</v>
      </c>
      <c r="F7" s="10">
        <f ca="1">IF(Leveraging!$C$11=V$3,IF(Leveraging!$C$10=$W$3,B7,C7),IF(Leveraging!$C$11=V$4,IF(Leveraging!$C$10=$W$3,D7,E7),"Complete Selections"))</f>
        <v>0.77500000000000002</v>
      </c>
      <c r="G7" s="12">
        <f>Leveraging!J$17</f>
        <v>194900</v>
      </c>
      <c r="H7" s="12">
        <f>Leveraging!M$17</f>
        <v>188000</v>
      </c>
      <c r="I7" s="12">
        <f>Leveraging!P$17</f>
        <v>202300</v>
      </c>
      <c r="J7" s="12">
        <f>Leveraging!S$17</f>
        <v>193300</v>
      </c>
      <c r="K7" s="12" t="str">
        <f>IF(Leveraging!$C$11=V$3,IF(Leveraging!$C$10=$W$3,G7,IF(Leveraging!$C$10=$W$4,H7,"TBD")),IF(Leveraging!$C$11=V$4,IF(Leveraging!$C$10=$W$3,I7,IF(Leveraging!$C$10=$W$4,J7,"TBD")),"TBD"))</f>
        <v>TBD</v>
      </c>
      <c r="L7" s="18">
        <f>Leveraging!V$17</f>
        <v>4.6828703703703711</v>
      </c>
      <c r="M7" s="63"/>
      <c r="N7" s="62">
        <v>4994551.414855062</v>
      </c>
      <c r="O7" s="63"/>
      <c r="P7" s="62">
        <v>15672625</v>
      </c>
      <c r="Q7" s="66"/>
      <c r="R7" s="65">
        <v>0.25</v>
      </c>
      <c r="S7" s="1"/>
      <c r="T7" s="1"/>
      <c r="U7" s="1"/>
      <c r="V7" s="1"/>
      <c r="W7" s="1"/>
    </row>
    <row r="8" spans="1:24" x14ac:dyDescent="0.25">
      <c r="A8" s="1" t="str">
        <f>S$3&amp;T$5&amp;U$3&amp;X$3</f>
        <v>New ConstructionHigh-RiseConcreteNo</v>
      </c>
      <c r="B8" s="10">
        <f>Leveraging!L$10</f>
        <v>0.92100000000000004</v>
      </c>
      <c r="C8" s="10">
        <f>Leveraging!O$10</f>
        <v>0.92400000000000004</v>
      </c>
      <c r="D8" s="10">
        <f ca="1">Leveraging!R$10</f>
        <v>0.92</v>
      </c>
      <c r="E8" s="10">
        <f ca="1">Leveraging!U$10</f>
        <v>0.63300000000000001</v>
      </c>
      <c r="F8" s="10">
        <f ca="1">IF(Leveraging!$C$11=V$3,IF(Leveraging!$C$10=$W$3,B8,C8),IF(Leveraging!$C$11=V$4,IF(Leveraging!$C$10=$W$3,D8,E8),"Complete Selections"))</f>
        <v>0.63300000000000001</v>
      </c>
      <c r="G8" s="12">
        <f>Leveraging!J$10</f>
        <v>303300</v>
      </c>
      <c r="H8" s="12">
        <f>Leveraging!M$10</f>
        <v>292200</v>
      </c>
      <c r="I8" s="12">
        <f>Leveraging!P$10</f>
        <v>315200</v>
      </c>
      <c r="J8" s="12">
        <f>Leveraging!S$10</f>
        <v>300800</v>
      </c>
      <c r="K8" s="12" t="str">
        <f>IF(Leveraging!$C$11=V$3,IF(Leveraging!$C$10=$W$3,G8,IF(Leveraging!$C$10=$W$4,H8,"TBD")),IF(Leveraging!$C$11=V$4,IF(Leveraging!$C$10=$W$3,I8,IF(Leveraging!$C$10=$W$4,J8,"TBD")),"TBD"))</f>
        <v>TBD</v>
      </c>
      <c r="L8" s="18">
        <f>Leveraging!V$10</f>
        <v>0.16153747597693779</v>
      </c>
      <c r="M8" s="62">
        <v>6585492.9689078191</v>
      </c>
      <c r="N8" s="62">
        <v>9169946.120000001</v>
      </c>
      <c r="O8" s="62">
        <v>24358000</v>
      </c>
      <c r="P8" s="62">
        <v>23332000</v>
      </c>
      <c r="Q8" s="65">
        <v>0.25</v>
      </c>
      <c r="R8" s="65">
        <v>0.25</v>
      </c>
      <c r="S8" s="1"/>
      <c r="T8" s="1"/>
      <c r="U8" s="1"/>
      <c r="V8" s="1"/>
      <c r="W8" s="1"/>
    </row>
    <row r="9" spans="1:24" x14ac:dyDescent="0.25">
      <c r="A9" s="1" t="str">
        <f>S$3&amp;T$5&amp;U$3&amp;X$4</f>
        <v>New ConstructionHigh-RiseConcreteYes</v>
      </c>
      <c r="B9" s="10">
        <f>Leveraging!L$21</f>
        <v>0.90700000000000003</v>
      </c>
      <c r="C9" s="10">
        <f>Leveraging!O$21</f>
        <v>0.91</v>
      </c>
      <c r="D9" s="10">
        <f ca="1">Leveraging!R$21</f>
        <v>0.90600000000000003</v>
      </c>
      <c r="E9" s="10">
        <f ca="1">Leveraging!U$21</f>
        <v>0.63200000000000001</v>
      </c>
      <c r="F9" s="10">
        <f ca="1">IF(Leveraging!$C$11=V$3,IF(Leveraging!$C$10=$W$3,B9,C9),IF(Leveraging!$C$11=V$4,IF(Leveraging!$C$10=$W$3,D9,E9),"Complete Selections"))</f>
        <v>0.63200000000000001</v>
      </c>
      <c r="G9" s="12">
        <f>Leveraging!J$21</f>
        <v>308300</v>
      </c>
      <c r="H9" s="12">
        <f>Leveraging!M$21</f>
        <v>297200</v>
      </c>
      <c r="I9" s="12">
        <f>Leveraging!P$21</f>
        <v>320200</v>
      </c>
      <c r="J9" s="12">
        <f>Leveraging!S$21</f>
        <v>305800</v>
      </c>
      <c r="K9" s="12" t="str">
        <f>IF(Leveraging!$C$11=V$3,IF(Leveraging!$C$10=$W$3,G9,IF(Leveraging!$C$10=$W$4,H9,"TBD")),IF(Leveraging!$C$11=V$4,IF(Leveraging!$C$10=$W$3,I9,IF(Leveraging!$C$10=$W$4,J9,"TBD")),"TBD"))</f>
        <v>TBD</v>
      </c>
      <c r="L9" s="18">
        <f>Leveraging!V$21</f>
        <v>0.18683302296710111</v>
      </c>
      <c r="M9" s="62">
        <v>6789047.7300000004</v>
      </c>
      <c r="N9" s="62">
        <v>9365587.1500000004</v>
      </c>
      <c r="O9" s="62">
        <v>24714250</v>
      </c>
      <c r="P9" s="62">
        <v>23688250</v>
      </c>
      <c r="Q9" s="65">
        <v>0.25</v>
      </c>
      <c r="R9" s="65">
        <v>0.25</v>
      </c>
    </row>
    <row r="10" spans="1:24" x14ac:dyDescent="0.25">
      <c r="A10" s="2" t="str">
        <f>S$3&amp;T$5&amp;U$5&amp;X$3</f>
        <v>New ConstructionHigh-RiseRehabNo</v>
      </c>
      <c r="B10" s="11" t="s">
        <v>25</v>
      </c>
      <c r="C10" s="11" t="s">
        <v>25</v>
      </c>
      <c r="D10" s="11" t="s">
        <v>25</v>
      </c>
      <c r="E10" s="11" t="s">
        <v>25</v>
      </c>
      <c r="F10" s="10" t="str">
        <f>IF(Leveraging!$C$11=V$3,IF(Leveraging!$C$10=$W$3,B10,C10),IF(Leveraging!$C$11=V$4,IF(Leveraging!$C$10=$W$3,D10,E10),"Complete Selections"))</f>
        <v>Invalid Selection(s)</v>
      </c>
      <c r="G10" s="14"/>
      <c r="H10" s="14"/>
      <c r="I10" s="14"/>
      <c r="J10" s="14"/>
      <c r="K10" s="14"/>
      <c r="L10" s="19"/>
      <c r="M10" s="63"/>
      <c r="N10" s="63"/>
      <c r="O10" s="63"/>
      <c r="P10" s="63"/>
      <c r="Q10" s="66"/>
      <c r="R10" s="66"/>
    </row>
    <row r="11" spans="1:24" x14ac:dyDescent="0.25">
      <c r="A11" s="2" t="str">
        <f>S$3&amp;T$5&amp;U$5&amp;X$4</f>
        <v>New ConstructionHigh-RiseRehabYes</v>
      </c>
      <c r="B11" s="11" t="s">
        <v>25</v>
      </c>
      <c r="C11" s="11" t="s">
        <v>25</v>
      </c>
      <c r="D11" s="11" t="s">
        <v>25</v>
      </c>
      <c r="E11" s="11" t="s">
        <v>25</v>
      </c>
      <c r="F11" s="10" t="str">
        <f>IF(Leveraging!$C$11=V$3,IF(Leveraging!$C$10=$W$3,B11,C11),IF(Leveraging!$C$11=V$4,IF(Leveraging!$C$10=$W$3,D11,E11),"Complete Selections"))</f>
        <v>Invalid Selection(s)</v>
      </c>
      <c r="G11" s="14"/>
      <c r="H11" s="14"/>
      <c r="I11" s="14"/>
      <c r="J11" s="14"/>
      <c r="K11" s="14"/>
      <c r="L11" s="19"/>
      <c r="M11" s="63"/>
      <c r="N11" s="63"/>
      <c r="O11" s="63"/>
      <c r="P11" s="63"/>
      <c r="Q11" s="66"/>
      <c r="R11" s="66"/>
    </row>
    <row r="12" spans="1:24" x14ac:dyDescent="0.25">
      <c r="A12" s="2" t="str">
        <f>S$3&amp;T$5&amp;U$4&amp;X$3</f>
        <v>New ConstructionHigh-RiseWoodNo</v>
      </c>
      <c r="B12" s="11" t="s">
        <v>25</v>
      </c>
      <c r="C12" s="11" t="s">
        <v>25</v>
      </c>
      <c r="D12" s="11" t="s">
        <v>25</v>
      </c>
      <c r="E12" s="11" t="s">
        <v>25</v>
      </c>
      <c r="F12" s="10" t="str">
        <f>IF(Leveraging!$C$11=V$3,IF(Leveraging!$C$10=$W$3,B12,C12),IF(Leveraging!$C$11=V$4,IF(Leveraging!$C$10=$W$3,D12,E12),"Complete Selections"))</f>
        <v>Invalid Selection(s)</v>
      </c>
      <c r="G12" s="14"/>
      <c r="H12" s="14"/>
      <c r="I12" s="14"/>
      <c r="J12" s="14"/>
      <c r="K12" s="14"/>
      <c r="L12" s="19"/>
      <c r="M12" s="63"/>
      <c r="N12" s="63"/>
      <c r="O12" s="63"/>
      <c r="P12" s="63"/>
      <c r="Q12" s="66"/>
      <c r="R12" s="66"/>
    </row>
    <row r="13" spans="1:24" x14ac:dyDescent="0.25">
      <c r="A13" s="2" t="str">
        <f>S$3&amp;T$5&amp;U$4&amp;X$4</f>
        <v>New ConstructionHigh-RiseWoodYes</v>
      </c>
      <c r="B13" s="11" t="s">
        <v>25</v>
      </c>
      <c r="C13" s="11" t="s">
        <v>25</v>
      </c>
      <c r="D13" s="11" t="s">
        <v>25</v>
      </c>
      <c r="E13" s="11" t="s">
        <v>25</v>
      </c>
      <c r="F13" s="10" t="str">
        <f>IF(Leveraging!$C$11=V$3,IF(Leveraging!$C$10=$W$3,B13,C13),IF(Leveraging!$C$11=V$4,IF(Leveraging!$C$10=$W$3,D13,E13),"Complete Selections"))</f>
        <v>Invalid Selection(s)</v>
      </c>
      <c r="G13" s="14"/>
      <c r="H13" s="14"/>
      <c r="I13" s="14"/>
      <c r="J13" s="14"/>
      <c r="K13" s="14"/>
      <c r="L13" s="19"/>
      <c r="M13" s="63"/>
      <c r="N13" s="63"/>
      <c r="O13" s="63"/>
      <c r="P13" s="63"/>
      <c r="Q13" s="66"/>
      <c r="R13" s="66"/>
    </row>
    <row r="14" spans="1:24" x14ac:dyDescent="0.25">
      <c r="A14" s="1" t="str">
        <f>S$3&amp;T$4&amp;U$3&amp;X$3</f>
        <v>New ConstructionMid-RiseConcreteNo</v>
      </c>
      <c r="B14" s="10">
        <f>Leveraging!L$9</f>
        <v>1.153</v>
      </c>
      <c r="C14" s="10">
        <f>Leveraging!O$9</f>
        <v>1.143</v>
      </c>
      <c r="D14" s="10">
        <f ca="1">Leveraging!R$9</f>
        <v>1.155</v>
      </c>
      <c r="E14" s="10">
        <f ca="1">Leveraging!U$9</f>
        <v>0.67700000000000005</v>
      </c>
      <c r="F14" s="10">
        <f ca="1">IF(Leveraging!$C$11=V$3,IF(Leveraging!$C$10=$W$3,B14,C14),IF(Leveraging!$C$11=V$4,IF(Leveraging!$C$10=$W$3,D14,E14),"Complete Selections"))</f>
        <v>0.67700000000000005</v>
      </c>
      <c r="G14" s="12">
        <f>Leveraging!J$9</f>
        <v>250000</v>
      </c>
      <c r="H14" s="12">
        <f>Leveraging!M$9</f>
        <v>240900</v>
      </c>
      <c r="I14" s="12">
        <f>Leveraging!P$9</f>
        <v>259800</v>
      </c>
      <c r="J14" s="12">
        <f>Leveraging!S$9</f>
        <v>248000</v>
      </c>
      <c r="K14" s="12" t="str">
        <f>IF(Leveraging!$C$11=V$3,IF(Leveraging!$C$10=$W$3,G14,IF(Leveraging!$C$10=$W$4,H14,"TBD")),IF(Leveraging!$C$11=V$4,IF(Leveraging!$C$10=$W$3,I14,IF(Leveraging!$C$10=$W$4,J14,"TBD")),"TBD"))</f>
        <v>TBD</v>
      </c>
      <c r="L14" s="18">
        <f>Leveraging!V$9</f>
        <v>-0.39989076464746781</v>
      </c>
      <c r="M14" s="62">
        <v>4393881.85550493</v>
      </c>
      <c r="N14" s="62">
        <v>7189478.5800000001</v>
      </c>
      <c r="O14" s="62">
        <v>20410750</v>
      </c>
      <c r="P14" s="62">
        <v>19570000</v>
      </c>
      <c r="Q14" s="65">
        <v>0.25</v>
      </c>
      <c r="R14" s="65">
        <v>0.25</v>
      </c>
    </row>
    <row r="15" spans="1:24" x14ac:dyDescent="0.25">
      <c r="A15" s="1" t="str">
        <f>S$3&amp;T$4&amp;U$3&amp;X$4</f>
        <v>New ConstructionMid-RiseConcreteYes</v>
      </c>
      <c r="B15" s="10">
        <f>Leveraging!L$20</f>
        <v>1.123</v>
      </c>
      <c r="C15" s="10">
        <f>Leveraging!O$20</f>
        <v>1.1160000000000001</v>
      </c>
      <c r="D15" s="10">
        <f ca="1">Leveraging!R$20</f>
        <v>1.125</v>
      </c>
      <c r="E15" s="10">
        <f ca="1">Leveraging!U$20</f>
        <v>0.66300000000000003</v>
      </c>
      <c r="F15" s="10">
        <f ca="1">IF(Leveraging!$C$11=V$3,IF(Leveraging!$C$10=$W$3,B15,C15),IF(Leveraging!$C$11=V$4,IF(Leveraging!$C$10=$W$3,D15,E15),"Complete Selections"))</f>
        <v>0.66300000000000003</v>
      </c>
      <c r="G15" s="12">
        <f>Leveraging!J$20</f>
        <v>255000</v>
      </c>
      <c r="H15" s="12">
        <f>Leveraging!M$20</f>
        <v>245900</v>
      </c>
      <c r="I15" s="12">
        <f>Leveraging!P$20</f>
        <v>264800</v>
      </c>
      <c r="J15" s="12">
        <f>Leveraging!S$20</f>
        <v>253000</v>
      </c>
      <c r="K15" s="12" t="str">
        <f>IF(Leveraging!$C$11=V$3,IF(Leveraging!$C$10=$W$3,G15,IF(Leveraging!$C$10=$W$4,H15,"TBD")),IF(Leveraging!$C$11=V$4,IF(Leveraging!$C$10=$W$3,I15,IF(Leveraging!$C$10=$W$4,J15,"TBD")),"TBD"))</f>
        <v>TBD</v>
      </c>
      <c r="L15" s="18">
        <f>Leveraging!V$20</f>
        <v>-0.31315042573320717</v>
      </c>
      <c r="M15" s="62">
        <v>4591076.7332862858</v>
      </c>
      <c r="N15" s="62">
        <v>7386673.46</v>
      </c>
      <c r="O15" s="62">
        <v>20767000</v>
      </c>
      <c r="P15" s="62">
        <v>19926250</v>
      </c>
      <c r="Q15" s="65">
        <v>0.25</v>
      </c>
      <c r="R15" s="65">
        <v>0.25</v>
      </c>
    </row>
    <row r="16" spans="1:24" x14ac:dyDescent="0.25">
      <c r="A16" s="2" t="str">
        <f>S$3&amp;T$4&amp;U$5&amp;X$3</f>
        <v>New ConstructionMid-RiseRehabNo</v>
      </c>
      <c r="B16" s="11" t="s">
        <v>25</v>
      </c>
      <c r="C16" s="11" t="s">
        <v>25</v>
      </c>
      <c r="D16" s="11" t="s">
        <v>25</v>
      </c>
      <c r="E16" s="11" t="s">
        <v>25</v>
      </c>
      <c r="F16" s="10" t="str">
        <f>IF(Leveraging!$C$11=V$3,IF(Leveraging!$C$10=$W$3,B16,C16),IF(Leveraging!$C$11=V$4,IF(Leveraging!$C$10=$W$3,D16,E16),"Complete Selections"))</f>
        <v>Invalid Selection(s)</v>
      </c>
      <c r="G16" s="13"/>
      <c r="H16" s="13"/>
      <c r="I16" s="13"/>
      <c r="J16" s="13"/>
      <c r="K16" s="13"/>
      <c r="L16" s="20"/>
      <c r="M16" s="64"/>
      <c r="N16" s="64"/>
      <c r="O16" s="64"/>
      <c r="P16" s="64"/>
      <c r="Q16" s="67"/>
      <c r="R16" s="67"/>
    </row>
    <row r="17" spans="1:18" x14ac:dyDescent="0.25">
      <c r="A17" s="2" t="str">
        <f>S$3&amp;T$4&amp;U$5&amp;X$4</f>
        <v>New ConstructionMid-RiseRehabYes</v>
      </c>
      <c r="B17" s="11" t="s">
        <v>25</v>
      </c>
      <c r="C17" s="11" t="s">
        <v>25</v>
      </c>
      <c r="D17" s="11" t="s">
        <v>25</v>
      </c>
      <c r="E17" s="11" t="s">
        <v>25</v>
      </c>
      <c r="F17" s="10" t="str">
        <f>IF(Leveraging!$C$11=V$3,IF(Leveraging!$C$10=$W$3,B17,C17),IF(Leveraging!$C$11=V$4,IF(Leveraging!$C$10=$W$3,D17,E17),"Complete Selections"))</f>
        <v>Invalid Selection(s)</v>
      </c>
      <c r="G17" s="13"/>
      <c r="H17" s="13"/>
      <c r="I17" s="13"/>
      <c r="J17" s="13"/>
      <c r="K17" s="13"/>
      <c r="L17" s="20"/>
      <c r="M17" s="64"/>
      <c r="N17" s="64"/>
      <c r="O17" s="64"/>
      <c r="P17" s="64"/>
      <c r="Q17" s="67"/>
      <c r="R17" s="67"/>
    </row>
    <row r="18" spans="1:18" x14ac:dyDescent="0.25">
      <c r="A18" s="1" t="str">
        <f>S$3&amp;T$4&amp;U$4&amp;X$3</f>
        <v>New ConstructionMid-RiseWoodNo</v>
      </c>
      <c r="B18" s="10">
        <f>Leveraging!L$8</f>
        <v>0.02</v>
      </c>
      <c r="C18" s="10">
        <f>Leveraging!O$8</f>
        <v>9.9000000000000005E-2</v>
      </c>
      <c r="D18" s="10">
        <f ca="1">Leveraging!R$8</f>
        <v>0</v>
      </c>
      <c r="E18" s="10">
        <f ca="1">Leveraging!U$8</f>
        <v>0.71099999999999997</v>
      </c>
      <c r="F18" s="10">
        <f ca="1">IF(Leveraging!$C$11=V$3,IF(Leveraging!$C$10=$W$3,B18,C18),IF(Leveraging!$C$11=V$4,IF(Leveraging!$C$10=$W$3,D18,E18),"Complete Selections"))</f>
        <v>0.71099999999999997</v>
      </c>
      <c r="G18" s="12">
        <f>Leveraging!J$8</f>
        <v>227300</v>
      </c>
      <c r="H18" s="12">
        <f>Leveraging!M$8</f>
        <v>219000</v>
      </c>
      <c r="I18" s="12">
        <f>Leveraging!P$8</f>
        <v>236200</v>
      </c>
      <c r="J18" s="12">
        <f>Leveraging!S$8</f>
        <v>225400</v>
      </c>
      <c r="K18" s="12" t="str">
        <f>IF(Leveraging!$C$11=V$3,IF(Leveraging!$C$10=$W$3,G18,IF(Leveraging!$C$10=$W$4,H18,"TBD")),IF(Leveraging!$C$11=V$4,IF(Leveraging!$C$10=$W$3,I18,IF(Leveraging!$C$10=$W$4,J18,"TBD")),"TBD"))</f>
        <v>TBD</v>
      </c>
      <c r="L18" s="18">
        <f>Leveraging!V$8</f>
        <v>3.0635538261997408</v>
      </c>
      <c r="M18" s="63"/>
      <c r="N18" s="63"/>
      <c r="O18" s="63"/>
      <c r="P18" s="63"/>
      <c r="Q18" s="66"/>
      <c r="R18" s="67"/>
    </row>
    <row r="19" spans="1:18" x14ac:dyDescent="0.25">
      <c r="A19" s="1" t="str">
        <f>S$3&amp;T$4&amp;U$4&amp;X$4</f>
        <v>New ConstructionMid-RiseWoodYes</v>
      </c>
      <c r="B19" s="10">
        <f>Leveraging!L$19</f>
        <v>1.7000000000000001E-2</v>
      </c>
      <c r="C19" s="10">
        <f>Leveraging!O$19</f>
        <v>0.09</v>
      </c>
      <c r="D19" s="10">
        <f ca="1">Leveraging!R$19</f>
        <v>0</v>
      </c>
      <c r="E19" s="10">
        <f ca="1">Leveraging!U$19</f>
        <v>0.70199999999999996</v>
      </c>
      <c r="F19" s="10">
        <f ca="1">IF(Leveraging!$C$11=V$3,IF(Leveraging!$C$10=$W$3,B19,C19),IF(Leveraging!$C$11=V$4,IF(Leveraging!$C$10=$W$3,D19,E19),"Complete Selections"))</f>
        <v>0.70199999999999996</v>
      </c>
      <c r="G19" s="12">
        <f>Leveraging!J$19</f>
        <v>232300</v>
      </c>
      <c r="H19" s="12">
        <f>Leveraging!M$19</f>
        <v>224000</v>
      </c>
      <c r="I19" s="12">
        <f>Leveraging!P$19</f>
        <v>241200</v>
      </c>
      <c r="J19" s="12">
        <f>Leveraging!S$19</f>
        <v>230400</v>
      </c>
      <c r="K19" s="12" t="str">
        <f>IF(Leveraging!$C$11=V$3,IF(Leveraging!$C$10=$W$3,G19,IF(Leveraging!$C$10=$W$4,H19,"TBD")),IF(Leveraging!$C$11=V$4,IF(Leveraging!$C$10=$W$3,I19,IF(Leveraging!$C$10=$W$4,J19,"TBD")),"TBD"))</f>
        <v>TBD</v>
      </c>
      <c r="L19" s="18">
        <f>Leveraging!V$19</f>
        <v>2.9378806333739345</v>
      </c>
      <c r="M19" s="63"/>
      <c r="N19" s="63"/>
      <c r="O19" s="63"/>
      <c r="P19" s="63"/>
      <c r="Q19" s="66"/>
      <c r="R19" s="67"/>
    </row>
    <row r="20" spans="1:18" x14ac:dyDescent="0.25">
      <c r="A20" s="2" t="str">
        <f>S$3&amp;T$6&amp;U$3&amp;X$3</f>
        <v>New ConstructionNon-GardenConcreteNo</v>
      </c>
      <c r="B20" s="11" t="s">
        <v>25</v>
      </c>
      <c r="C20" s="11" t="s">
        <v>25</v>
      </c>
      <c r="D20" s="11" t="s">
        <v>25</v>
      </c>
      <c r="E20" s="11" t="s">
        <v>25</v>
      </c>
      <c r="F20" s="10" t="str">
        <f>IF(Leveraging!$C$11=V$3,IF(Leveraging!$C$10=$W$3,B20,C20),IF(Leveraging!$C$11=V$4,IF(Leveraging!$C$10=$W$3,D20,E20),"Complete Selections"))</f>
        <v>Invalid Selection(s)</v>
      </c>
      <c r="G20" s="13"/>
      <c r="H20" s="13"/>
      <c r="I20" s="13"/>
      <c r="J20" s="13"/>
      <c r="K20" s="13"/>
      <c r="L20" s="20"/>
      <c r="M20" s="64"/>
      <c r="N20" s="64"/>
      <c r="O20" s="64"/>
      <c r="P20" s="64"/>
      <c r="Q20" s="67"/>
      <c r="R20" s="67"/>
    </row>
    <row r="21" spans="1:18" x14ac:dyDescent="0.25">
      <c r="A21" s="2" t="str">
        <f>S$3&amp;T$6&amp;U$3&amp;X$4</f>
        <v>New ConstructionNon-GardenConcreteYes</v>
      </c>
      <c r="B21" s="11" t="s">
        <v>25</v>
      </c>
      <c r="C21" s="11" t="s">
        <v>25</v>
      </c>
      <c r="D21" s="11" t="s">
        <v>25</v>
      </c>
      <c r="E21" s="11" t="s">
        <v>25</v>
      </c>
      <c r="F21" s="10" t="str">
        <f>IF(Leveraging!$C$11=V$3,IF(Leveraging!$C$10=$W$3,B21,C21),IF(Leveraging!$C$11=V$4,IF(Leveraging!$C$10=$W$3,D21,E21),"Complete Selections"))</f>
        <v>Invalid Selection(s)</v>
      </c>
      <c r="G21" s="13"/>
      <c r="H21" s="13"/>
      <c r="I21" s="13"/>
      <c r="J21" s="13"/>
      <c r="K21" s="13"/>
      <c r="L21" s="20"/>
      <c r="M21" s="64"/>
      <c r="N21" s="64"/>
      <c r="O21" s="64"/>
      <c r="P21" s="64"/>
      <c r="Q21" s="67"/>
      <c r="R21" s="67"/>
    </row>
    <row r="22" spans="1:18" x14ac:dyDescent="0.25">
      <c r="A22" s="2" t="str">
        <f>S$3&amp;T$6&amp;U$5&amp;X$3</f>
        <v>New ConstructionNon-GardenRehabNo</v>
      </c>
      <c r="B22" s="11" t="s">
        <v>25</v>
      </c>
      <c r="C22" s="11" t="s">
        <v>25</v>
      </c>
      <c r="D22" s="11" t="s">
        <v>25</v>
      </c>
      <c r="E22" s="11" t="s">
        <v>25</v>
      </c>
      <c r="F22" s="10" t="str">
        <f>IF(Leveraging!$C$11=V$3,IF(Leveraging!$C$10=$W$3,B22,C22),IF(Leveraging!$C$11=V$4,IF(Leveraging!$C$10=$W$3,D22,E22),"Complete Selections"))</f>
        <v>Invalid Selection(s)</v>
      </c>
      <c r="G22" s="13"/>
      <c r="H22" s="13"/>
      <c r="I22" s="13"/>
      <c r="J22" s="13"/>
      <c r="K22" s="13"/>
      <c r="L22" s="20"/>
      <c r="M22" s="64"/>
      <c r="N22" s="64"/>
      <c r="O22" s="64"/>
      <c r="P22" s="64"/>
      <c r="Q22" s="67"/>
      <c r="R22" s="67"/>
    </row>
    <row r="23" spans="1:18" x14ac:dyDescent="0.25">
      <c r="A23" s="2" t="str">
        <f>S$3&amp;T$6&amp;U$5&amp;X$4</f>
        <v>New ConstructionNon-GardenRehabYes</v>
      </c>
      <c r="B23" s="11" t="s">
        <v>25</v>
      </c>
      <c r="C23" s="11" t="s">
        <v>25</v>
      </c>
      <c r="D23" s="11" t="s">
        <v>25</v>
      </c>
      <c r="E23" s="11" t="s">
        <v>25</v>
      </c>
      <c r="F23" s="10" t="str">
        <f>IF(Leveraging!$C$11=V$3,IF(Leveraging!$C$10=$W$3,B23,C23),IF(Leveraging!$C$11=V$4,IF(Leveraging!$C$10=$W$3,D23,E23),"Complete Selections"))</f>
        <v>Invalid Selection(s)</v>
      </c>
      <c r="G23" s="13"/>
      <c r="H23" s="13"/>
      <c r="I23" s="13"/>
      <c r="J23" s="13"/>
      <c r="K23" s="13"/>
      <c r="L23" s="20"/>
      <c r="M23" s="64"/>
      <c r="N23" s="64"/>
      <c r="O23" s="64"/>
      <c r="P23" s="64"/>
      <c r="Q23" s="67"/>
      <c r="R23" s="67"/>
    </row>
    <row r="24" spans="1:18" x14ac:dyDescent="0.25">
      <c r="A24" s="2" t="str">
        <f>S$3&amp;T$6&amp;U$4&amp;X$3</f>
        <v>New ConstructionNon-GardenWoodNo</v>
      </c>
      <c r="B24" s="11" t="s">
        <v>25</v>
      </c>
      <c r="C24" s="11" t="s">
        <v>25</v>
      </c>
      <c r="D24" s="11" t="s">
        <v>25</v>
      </c>
      <c r="E24" s="11" t="s">
        <v>25</v>
      </c>
      <c r="F24" s="10" t="str">
        <f>IF(Leveraging!$C$11=V$3,IF(Leveraging!$C$10=$W$3,B24,C24),IF(Leveraging!$C$11=V$4,IF(Leveraging!$C$10=$W$3,D24,E24),"Complete Selections"))</f>
        <v>Invalid Selection(s)</v>
      </c>
      <c r="G24" s="13"/>
      <c r="H24" s="13"/>
      <c r="I24" s="13"/>
      <c r="J24" s="13"/>
      <c r="K24" s="13"/>
      <c r="L24" s="20"/>
      <c r="M24" s="64"/>
      <c r="N24" s="64"/>
      <c r="O24" s="64"/>
      <c r="P24" s="64"/>
      <c r="Q24" s="67"/>
      <c r="R24" s="67"/>
    </row>
    <row r="25" spans="1:18" x14ac:dyDescent="0.25">
      <c r="A25" s="2" t="str">
        <f>S$3&amp;T$6&amp;U$4&amp;X$4</f>
        <v>New ConstructionNon-GardenWoodYes</v>
      </c>
      <c r="B25" s="11" t="s">
        <v>25</v>
      </c>
      <c r="C25" s="11" t="s">
        <v>25</v>
      </c>
      <c r="D25" s="11" t="s">
        <v>25</v>
      </c>
      <c r="E25" s="11" t="s">
        <v>25</v>
      </c>
      <c r="F25" s="10" t="str">
        <f>IF(Leveraging!$C$11=V$3,IF(Leveraging!$C$10=$W$3,B25,C25),IF(Leveraging!$C$11=V$4,IF(Leveraging!$C$10=$W$3,D25,E25),"Complete Selections"))</f>
        <v>Invalid Selection(s)</v>
      </c>
      <c r="G25" s="13"/>
      <c r="H25" s="13"/>
      <c r="I25" s="13"/>
      <c r="J25" s="13"/>
      <c r="K25" s="13"/>
      <c r="L25" s="20"/>
      <c r="M25" s="64"/>
      <c r="N25" s="64"/>
      <c r="O25" s="64"/>
      <c r="P25" s="64"/>
      <c r="Q25" s="67"/>
      <c r="R25" s="67"/>
    </row>
    <row r="26" spans="1:18" x14ac:dyDescent="0.25">
      <c r="A26" s="2" t="str">
        <f>S$4&amp;T$3&amp;U$3&amp;X$3</f>
        <v>RehabilitationGardenConcreteNo</v>
      </c>
      <c r="B26" s="10">
        <f>Leveraging!L$11</f>
        <v>4.9569999999999999</v>
      </c>
      <c r="C26" s="10">
        <f>Leveraging!O$11</f>
        <v>1</v>
      </c>
      <c r="D26" s="10">
        <f ca="1">Leveraging!R$11</f>
        <v>5.9269999999999996</v>
      </c>
      <c r="E26" s="10">
        <f ca="1">Leveraging!U$11</f>
        <v>1</v>
      </c>
      <c r="F26" s="10">
        <f ca="1">IF(Leveraging!$C$11=V$3,IF(Leveraging!$C$10=$W$3,B26,C26),IF(Leveraging!$C$11=V$4,IF(Leveraging!$C$10=$W$3,D26,E26),"Complete Selections"))</f>
        <v>1</v>
      </c>
      <c r="G26" s="12">
        <f>Leveraging!J$11</f>
        <v>160400</v>
      </c>
      <c r="H26" s="12">
        <f>Leveraging!M$11</f>
        <v>154600</v>
      </c>
      <c r="I26" s="12">
        <f>Leveraging!P$11</f>
        <v>166600</v>
      </c>
      <c r="J26" s="12">
        <f>Leveraging!S$11</f>
        <v>159100</v>
      </c>
      <c r="K26" s="12" t="str">
        <f>IF(Leveraging!$C$11=V$3,IF(Leveraging!$C$10=$W$3,G26,IF(Leveraging!$C$10=$W$4,H26,"TBD")),IF(Leveraging!$C$11=V$4,IF(Leveraging!$C$10=$W$3,I26,IF(Leveraging!$C$10=$W$4,J26,"TBD")),"TBD"))</f>
        <v>TBD</v>
      </c>
      <c r="L26" s="18">
        <f>Leveraging!V$11</f>
        <v>-109.44509333333325</v>
      </c>
      <c r="M26" s="63"/>
      <c r="N26" s="63"/>
      <c r="O26" s="63"/>
      <c r="P26" s="63"/>
      <c r="Q26" s="66"/>
      <c r="R26" s="66"/>
    </row>
    <row r="27" spans="1:18" x14ac:dyDescent="0.25">
      <c r="A27" s="2" t="str">
        <f>S$4&amp;T$3&amp;U$3&amp;X$4</f>
        <v>RehabilitationGardenConcreteYes</v>
      </c>
      <c r="B27" s="10">
        <f>Leveraging!L$22</f>
        <v>4.1139999999999999</v>
      </c>
      <c r="C27" s="10">
        <f>Leveraging!O$22</f>
        <v>2.4940000000000002</v>
      </c>
      <c r="D27" s="10">
        <f ca="1">Leveraging!R$22</f>
        <v>4.4740000000000002</v>
      </c>
      <c r="E27" s="10">
        <f ca="1">Leveraging!U$22</f>
        <v>0.96699999999999997</v>
      </c>
      <c r="F27" s="10">
        <f ca="1">IF(Leveraging!$C$11=V$3,IF(Leveraging!$C$10=$W$3,B27,C27),IF(Leveraging!$C$11=V$4,IF(Leveraging!$C$10=$W$3,D27,E27),"Complete Selections"))</f>
        <v>0.96699999999999997</v>
      </c>
      <c r="G27" s="12">
        <f>Leveraging!J$22</f>
        <v>165400</v>
      </c>
      <c r="H27" s="12">
        <f>Leveraging!M$22</f>
        <v>159600</v>
      </c>
      <c r="I27" s="12">
        <f>Leveraging!P$22</f>
        <v>171600</v>
      </c>
      <c r="J27" s="12">
        <f>Leveraging!S$22</f>
        <v>164100</v>
      </c>
      <c r="K27" s="12" t="str">
        <f>IF(Leveraging!$C$11=V$3,IF(Leveraging!$C$10=$W$3,G27,IF(Leveraging!$C$10=$W$4,H27,"TBD")),IF(Leveraging!$C$11=V$4,IF(Leveraging!$C$10=$W$3,I27,IF(Leveraging!$C$10=$W$4,J27,"TBD")),"TBD"))</f>
        <v>TBD</v>
      </c>
      <c r="L27" s="18">
        <f>Leveraging!V$22</f>
        <v>-47.691071999999998</v>
      </c>
      <c r="M27" s="63"/>
      <c r="N27" s="63"/>
      <c r="O27" s="63"/>
      <c r="P27" s="63"/>
      <c r="Q27" s="66"/>
      <c r="R27" s="66"/>
    </row>
    <row r="28" spans="1:18" x14ac:dyDescent="0.25">
      <c r="A28" s="1" t="str">
        <f>S$4&amp;T$3&amp;U$5&amp;X$3</f>
        <v>RehabilitationGardenRehabNo</v>
      </c>
      <c r="B28" s="10">
        <f>Leveraging!L$11</f>
        <v>4.9569999999999999</v>
      </c>
      <c r="C28" s="10">
        <f>Leveraging!O$11</f>
        <v>1</v>
      </c>
      <c r="D28" s="10">
        <f ca="1">Leveraging!R$11</f>
        <v>5.9269999999999996</v>
      </c>
      <c r="E28" s="10">
        <f ca="1">Leveraging!U$11</f>
        <v>1</v>
      </c>
      <c r="F28" s="10">
        <f ca="1">IF(Leveraging!$C$11=V$3,IF(Leveraging!$C$10=$W$3,B28,C28),IF(Leveraging!$C$11=V$4,IF(Leveraging!$C$10=$W$3,D28,E28),"Complete Selections"))</f>
        <v>1</v>
      </c>
      <c r="G28" s="12">
        <f>Leveraging!J$11</f>
        <v>160400</v>
      </c>
      <c r="H28" s="12">
        <f>Leveraging!M$11</f>
        <v>154600</v>
      </c>
      <c r="I28" s="12">
        <f>Leveraging!P$11</f>
        <v>166600</v>
      </c>
      <c r="J28" s="12">
        <f>Leveraging!S$11</f>
        <v>159100</v>
      </c>
      <c r="K28" s="12" t="str">
        <f>IF(Leveraging!$C$11=V$3,IF(Leveraging!$C$10=$W$3,G28,IF(Leveraging!$C$10=$W$4,H28,"TBD")),IF(Leveraging!$C$11=V$4,IF(Leveraging!$C$10=$W$3,I28,IF(Leveraging!$C$10=$W$4,J28,"TBD")),"TBD"))</f>
        <v>TBD</v>
      </c>
      <c r="L28" s="18">
        <f>Leveraging!V$11</f>
        <v>-109.44509333333325</v>
      </c>
      <c r="M28" s="62">
        <v>538043.47854645364</v>
      </c>
      <c r="N28" s="62">
        <v>3056960.1766835754</v>
      </c>
      <c r="O28" s="62">
        <v>12820250</v>
      </c>
      <c r="P28" s="62">
        <v>12285875</v>
      </c>
      <c r="Q28" s="65">
        <v>0.25</v>
      </c>
      <c r="R28" s="65">
        <v>0.25</v>
      </c>
    </row>
    <row r="29" spans="1:18" x14ac:dyDescent="0.25">
      <c r="A29" s="1" t="str">
        <f>S$4&amp;T$3&amp;U$5&amp;X$4</f>
        <v>RehabilitationGardenRehabYes</v>
      </c>
      <c r="B29" s="10">
        <f>Leveraging!L$22</f>
        <v>4.1139999999999999</v>
      </c>
      <c r="C29" s="10">
        <f>Leveraging!O$22</f>
        <v>2.4940000000000002</v>
      </c>
      <c r="D29" s="10">
        <f ca="1">Leveraging!R$22</f>
        <v>4.4740000000000002</v>
      </c>
      <c r="E29" s="10">
        <f ca="1">Leveraging!U$22</f>
        <v>0.96699999999999997</v>
      </c>
      <c r="F29" s="10">
        <f ca="1">IF(Leveraging!$C$11=V$3,IF(Leveraging!$C$10=$W$3,B29,C29),IF(Leveraging!$C$11=V$4,IF(Leveraging!$C$10=$W$3,D29,E29),"Complete Selections"))</f>
        <v>0.96699999999999997</v>
      </c>
      <c r="G29" s="12">
        <f>Leveraging!J$22</f>
        <v>165400</v>
      </c>
      <c r="H29" s="12">
        <f>Leveraging!M$22</f>
        <v>159600</v>
      </c>
      <c r="I29" s="12">
        <f>Leveraging!P$22</f>
        <v>171600</v>
      </c>
      <c r="J29" s="12">
        <f>Leveraging!S$22</f>
        <v>164100</v>
      </c>
      <c r="K29" s="12" t="str">
        <f>IF(Leveraging!$C$11=V$3,IF(Leveraging!$C$10=$W$3,G29,IF(Leveraging!$C$10=$W$4,H29,"TBD")),IF(Leveraging!$C$11=V$4,IF(Leveraging!$C$10=$W$3,I29,IF(Leveraging!$C$10=$W$4,J29,"TBD")),"TBD"))</f>
        <v>TBD</v>
      </c>
      <c r="L29" s="18">
        <f>Leveraging!V$22</f>
        <v>-47.691071999999998</v>
      </c>
      <c r="M29" s="62">
        <v>732130.66712781228</v>
      </c>
      <c r="N29" s="62">
        <v>3251036.8663149304</v>
      </c>
      <c r="O29" s="62">
        <v>13176500</v>
      </c>
      <c r="P29" s="62">
        <v>12642125</v>
      </c>
      <c r="Q29" s="65">
        <v>0.25</v>
      </c>
      <c r="R29" s="65">
        <v>0.25</v>
      </c>
    </row>
    <row r="30" spans="1:18" x14ac:dyDescent="0.25">
      <c r="A30" s="2" t="str">
        <f>S$4&amp;T$3&amp;U$4&amp;X$3</f>
        <v>RehabilitationGardenWoodNo</v>
      </c>
      <c r="B30" s="10">
        <f>Leveraging!L$11</f>
        <v>4.9569999999999999</v>
      </c>
      <c r="C30" s="10">
        <f>Leveraging!O$11</f>
        <v>1</v>
      </c>
      <c r="D30" s="10">
        <f ca="1">Leveraging!R$11</f>
        <v>5.9269999999999996</v>
      </c>
      <c r="E30" s="10">
        <f ca="1">Leveraging!U$11</f>
        <v>1</v>
      </c>
      <c r="F30" s="10">
        <f ca="1">IF(Leveraging!$C$11=V$3,IF(Leveraging!$C$10=$W$3,B30,C30),IF(Leveraging!$C$11=V$4,IF(Leveraging!$C$10=$W$3,D30,E30),"Complete Selections"))</f>
        <v>1</v>
      </c>
      <c r="G30" s="12">
        <f>Leveraging!J$11</f>
        <v>160400</v>
      </c>
      <c r="H30" s="12">
        <f>Leveraging!M$11</f>
        <v>154600</v>
      </c>
      <c r="I30" s="12">
        <f>Leveraging!P$11</f>
        <v>166600</v>
      </c>
      <c r="J30" s="12">
        <f>Leveraging!S$11</f>
        <v>159100</v>
      </c>
      <c r="K30" s="12" t="str">
        <f>IF(Leveraging!$C$11=V$3,IF(Leveraging!$C$10=$W$3,G30,IF(Leveraging!$C$10=$W$4,H30,"TBD")),IF(Leveraging!$C$11=V$4,IF(Leveraging!$C$10=$W$3,I30,IF(Leveraging!$C$10=$W$4,J30,"TBD")),"TBD"))</f>
        <v>TBD</v>
      </c>
      <c r="L30" s="18">
        <f>Leveraging!V$11</f>
        <v>-109.44509333333325</v>
      </c>
      <c r="M30" s="63"/>
      <c r="N30" s="63"/>
      <c r="O30" s="63"/>
      <c r="P30" s="63"/>
      <c r="Q30" s="66"/>
      <c r="R30" s="66"/>
    </row>
    <row r="31" spans="1:18" x14ac:dyDescent="0.25">
      <c r="A31" s="2" t="str">
        <f>S$4&amp;T$3&amp;U$4&amp;X$4</f>
        <v>RehabilitationGardenWoodYes</v>
      </c>
      <c r="B31" s="10">
        <f>Leveraging!L$22</f>
        <v>4.1139999999999999</v>
      </c>
      <c r="C31" s="10">
        <f>Leveraging!O$22</f>
        <v>2.4940000000000002</v>
      </c>
      <c r="D31" s="10">
        <f ca="1">Leveraging!R$22</f>
        <v>4.4740000000000002</v>
      </c>
      <c r="E31" s="10">
        <f ca="1">Leveraging!U$22</f>
        <v>0.96699999999999997</v>
      </c>
      <c r="F31" s="10">
        <f ca="1">IF(Leveraging!$C$11=V$3,IF(Leveraging!$C$10=$W$3,B31,C31),IF(Leveraging!$C$11=V$4,IF(Leveraging!$C$10=$W$3,D31,E31),"Complete Selections"))</f>
        <v>0.96699999999999997</v>
      </c>
      <c r="G31" s="12">
        <f>Leveraging!J$22</f>
        <v>165400</v>
      </c>
      <c r="H31" s="12">
        <f>Leveraging!M$22</f>
        <v>159600</v>
      </c>
      <c r="I31" s="12">
        <f>Leveraging!P$22</f>
        <v>171600</v>
      </c>
      <c r="J31" s="12">
        <f>Leveraging!S$22</f>
        <v>164100</v>
      </c>
      <c r="K31" s="12" t="str">
        <f>IF(Leveraging!$C$11=V$3,IF(Leveraging!$C$10=$W$3,G31,IF(Leveraging!$C$10=$W$4,H31,"TBD")),IF(Leveraging!$C$11=V$4,IF(Leveraging!$C$10=$W$3,I31,IF(Leveraging!$C$10=$W$4,J31,"TBD")),"TBD"))</f>
        <v>TBD</v>
      </c>
      <c r="L31" s="18">
        <f>Leveraging!V$22</f>
        <v>-47.691071999999998</v>
      </c>
      <c r="M31" s="63"/>
      <c r="N31" s="63"/>
      <c r="O31" s="63"/>
      <c r="P31" s="63"/>
      <c r="Q31" s="66"/>
      <c r="R31" s="66"/>
    </row>
    <row r="32" spans="1:18" x14ac:dyDescent="0.25">
      <c r="A32" s="2" t="str">
        <f>S$4&amp;T$5&amp;U$3&amp;X$3</f>
        <v>RehabilitationHigh-RiseConcreteNo</v>
      </c>
      <c r="B32" s="10">
        <f>Leveraging!L$12</f>
        <v>1.4690000000000001</v>
      </c>
      <c r="C32" s="10">
        <f>Leveraging!O$12</f>
        <v>1.429</v>
      </c>
      <c r="D32" s="10">
        <f ca="1">Leveraging!R$12</f>
        <v>1.4790000000000001</v>
      </c>
      <c r="E32" s="10">
        <f ca="1">Leveraging!U$12</f>
        <v>0.73699999999999999</v>
      </c>
      <c r="F32" s="10">
        <f ca="1">IF(Leveraging!$C$11=V$3,IF(Leveraging!$C$10=$W$3,B32,C32),IF(Leveraging!$C$11=V$4,IF(Leveraging!$C$10=$W$3,D32,E32),"Complete Selections"))</f>
        <v>0.73699999999999999</v>
      </c>
      <c r="G32" s="12">
        <f>Leveraging!J$12</f>
        <v>223900</v>
      </c>
      <c r="H32" s="12">
        <f>Leveraging!M$12</f>
        <v>215800</v>
      </c>
      <c r="I32" s="12">
        <f>Leveraging!P$12</f>
        <v>232700</v>
      </c>
      <c r="J32" s="12">
        <f>Leveraging!S$12</f>
        <v>222100</v>
      </c>
      <c r="K32" s="12" t="str">
        <f>IF(Leveraging!$C$11=V$3,IF(Leveraging!$C$10=$W$3,G32,IF(Leveraging!$C$10=$W$4,H32,"TBD")),IF(Leveraging!$C$11=V$4,IF(Leveraging!$C$10=$W$3,I32,IF(Leveraging!$C$10=$W$4,J32,"TBD")),"TBD"))</f>
        <v>TBD</v>
      </c>
      <c r="L32" s="18">
        <f>Leveraging!V$12</f>
        <v>-1.5144470108695658</v>
      </c>
      <c r="M32" s="63"/>
      <c r="N32" s="63"/>
      <c r="O32" s="63"/>
      <c r="P32" s="63"/>
      <c r="Q32" s="66"/>
      <c r="R32" s="66"/>
    </row>
    <row r="33" spans="1:18" x14ac:dyDescent="0.25">
      <c r="A33" s="2" t="str">
        <f>S$4&amp;T$5&amp;U$3&amp;X$4</f>
        <v>RehabilitationHigh-RiseConcreteYes</v>
      </c>
      <c r="B33" s="10">
        <f>Leveraging!L$23</f>
        <v>1.4079999999999999</v>
      </c>
      <c r="C33" s="10">
        <f>Leveraging!O$23</f>
        <v>1.377</v>
      </c>
      <c r="D33" s="10">
        <f ca="1">Leveraging!R$23</f>
        <v>1.4159999999999999</v>
      </c>
      <c r="E33" s="10">
        <f ca="1">Leveraging!U$23</f>
        <v>0.71599999999999997</v>
      </c>
      <c r="F33" s="10">
        <f ca="1">IF(Leveraging!$C$11=V$3,IF(Leveraging!$C$10=$W$3,B33,C33),IF(Leveraging!$C$11=V$4,IF(Leveraging!$C$10=$W$3,D33,E33),"Complete Selections"))</f>
        <v>0.71599999999999997</v>
      </c>
      <c r="G33" s="12">
        <f>Leveraging!J$23</f>
        <v>228900</v>
      </c>
      <c r="H33" s="12">
        <f>Leveraging!M$23</f>
        <v>220800</v>
      </c>
      <c r="I33" s="12">
        <f>Leveraging!P$23</f>
        <v>237700</v>
      </c>
      <c r="J33" s="12">
        <f>Leveraging!S$23</f>
        <v>227100</v>
      </c>
      <c r="K33" s="12" t="str">
        <f>IF(Leveraging!$C$11=V$3,IF(Leveraging!$C$10=$W$3,G33,IF(Leveraging!$C$10=$W$4,H33,"TBD")),IF(Leveraging!$C$11=V$4,IF(Leveraging!$C$10=$W$3,I33,IF(Leveraging!$C$10=$W$4,J33,"TBD")),"TBD"))</f>
        <v>TBD</v>
      </c>
      <c r="L33" s="18">
        <f>Leveraging!V$23</f>
        <v>-1.2580559796437658</v>
      </c>
      <c r="M33" s="63"/>
      <c r="N33" s="63"/>
      <c r="O33" s="63"/>
      <c r="P33" s="63"/>
      <c r="Q33" s="66"/>
      <c r="R33" s="66"/>
    </row>
    <row r="34" spans="1:18" x14ac:dyDescent="0.25">
      <c r="A34" s="2" t="str">
        <f>S$4&amp;T$5&amp;U$5&amp;X$3</f>
        <v>RehabilitationHigh-RiseRehabNo</v>
      </c>
      <c r="B34" s="10">
        <f>Leveraging!L$12</f>
        <v>1.4690000000000001</v>
      </c>
      <c r="C34" s="10">
        <f>Leveraging!O$12</f>
        <v>1.429</v>
      </c>
      <c r="D34" s="10">
        <f ca="1">Leveraging!R$12</f>
        <v>1.4790000000000001</v>
      </c>
      <c r="E34" s="10">
        <f ca="1">Leveraging!U$12</f>
        <v>0.73699999999999999</v>
      </c>
      <c r="F34" s="10">
        <f ca="1">IF(Leveraging!$C$11=V$3,IF(Leveraging!$C$10=$W$3,B34,C34),IF(Leveraging!$C$11=V$4,IF(Leveraging!$C$10=$W$3,D34,E34),"Complete Selections"))</f>
        <v>0.73699999999999999</v>
      </c>
      <c r="G34" s="12">
        <f>Leveraging!J$12</f>
        <v>223900</v>
      </c>
      <c r="H34" s="12">
        <f>Leveraging!M$12</f>
        <v>215800</v>
      </c>
      <c r="I34" s="12">
        <f>Leveraging!P$12</f>
        <v>232700</v>
      </c>
      <c r="J34" s="12">
        <f>Leveraging!S$12</f>
        <v>222100</v>
      </c>
      <c r="K34" s="12" t="str">
        <f>IF(Leveraging!$C$11=V$3,IF(Leveraging!$C$10=$W$3,G34,IF(Leveraging!$C$10=$W$4,H34,"TBD")),IF(Leveraging!$C$11=V$4,IF(Leveraging!$C$10=$W$3,I34,IF(Leveraging!$C$10=$W$4,J34,"TBD")),"TBD"))</f>
        <v>TBD</v>
      </c>
      <c r="L34" s="18">
        <f>Leveraging!V$12</f>
        <v>-1.5144470108695658</v>
      </c>
      <c r="M34" s="63"/>
      <c r="N34" s="63"/>
      <c r="O34" s="63"/>
      <c r="P34" s="63"/>
      <c r="Q34" s="66"/>
      <c r="R34" s="66"/>
    </row>
    <row r="35" spans="1:18" x14ac:dyDescent="0.25">
      <c r="A35" s="2" t="str">
        <f>S$4&amp;T$5&amp;U$5&amp;X$4</f>
        <v>RehabilitationHigh-RiseRehabYes</v>
      </c>
      <c r="B35" s="10">
        <f>Leveraging!L$23</f>
        <v>1.4079999999999999</v>
      </c>
      <c r="C35" s="10">
        <f>Leveraging!O$23</f>
        <v>1.377</v>
      </c>
      <c r="D35" s="10">
        <f ca="1">Leveraging!R$23</f>
        <v>1.4159999999999999</v>
      </c>
      <c r="E35" s="10">
        <f ca="1">Leveraging!U$23</f>
        <v>0.71599999999999997</v>
      </c>
      <c r="F35" s="10">
        <f ca="1">IF(Leveraging!$C$11=V$3,IF(Leveraging!$C$10=$W$3,B35,C35),IF(Leveraging!$C$11=V$4,IF(Leveraging!$C$10=$W$3,D35,E35),"Complete Selections"))</f>
        <v>0.71599999999999997</v>
      </c>
      <c r="G35" s="12">
        <f>Leveraging!J$23</f>
        <v>228900</v>
      </c>
      <c r="H35" s="12">
        <f>Leveraging!M$23</f>
        <v>220800</v>
      </c>
      <c r="I35" s="12">
        <f>Leveraging!P$23</f>
        <v>237700</v>
      </c>
      <c r="J35" s="12">
        <f>Leveraging!S$23</f>
        <v>227100</v>
      </c>
      <c r="K35" s="12" t="str">
        <f>IF(Leveraging!$C$11=V$3,IF(Leveraging!$C$10=$W$3,G35,IF(Leveraging!$C$10=$W$4,H35,"TBD")),IF(Leveraging!$C$11=V$4,IF(Leveraging!$C$10=$W$3,I35,IF(Leveraging!$C$10=$W$4,J35,"TBD")),"TBD"))</f>
        <v>TBD</v>
      </c>
      <c r="L35" s="18">
        <f>Leveraging!V$23</f>
        <v>-1.2580559796437658</v>
      </c>
      <c r="M35" s="63"/>
      <c r="N35" s="63"/>
      <c r="O35" s="63"/>
      <c r="P35" s="63"/>
      <c r="Q35" s="66"/>
      <c r="R35" s="66"/>
    </row>
    <row r="36" spans="1:18" x14ac:dyDescent="0.25">
      <c r="A36" s="2" t="str">
        <f>S$4&amp;T$5&amp;U$4&amp;X$3</f>
        <v>RehabilitationHigh-RiseWoodNo</v>
      </c>
      <c r="B36" s="10">
        <f>Leveraging!L$12</f>
        <v>1.4690000000000001</v>
      </c>
      <c r="C36" s="10">
        <f>Leveraging!O$12</f>
        <v>1.429</v>
      </c>
      <c r="D36" s="10">
        <f ca="1">Leveraging!R$12</f>
        <v>1.4790000000000001</v>
      </c>
      <c r="E36" s="10">
        <f ca="1">Leveraging!U$12</f>
        <v>0.73699999999999999</v>
      </c>
      <c r="F36" s="10">
        <f ca="1">IF(Leveraging!$C$11=V$3,IF(Leveraging!$C$10=$W$3,B36,C36),IF(Leveraging!$C$11=V$4,IF(Leveraging!$C$10=$W$3,D36,E36),"Complete Selections"))</f>
        <v>0.73699999999999999</v>
      </c>
      <c r="G36" s="12">
        <f>Leveraging!J$12</f>
        <v>223900</v>
      </c>
      <c r="H36" s="12">
        <f>Leveraging!M$12</f>
        <v>215800</v>
      </c>
      <c r="I36" s="12">
        <f>Leveraging!P$12</f>
        <v>232700</v>
      </c>
      <c r="J36" s="12">
        <f>Leveraging!S$12</f>
        <v>222100</v>
      </c>
      <c r="K36" s="12" t="str">
        <f>IF(Leveraging!$C$11=V$3,IF(Leveraging!$C$10=$W$3,G36,IF(Leveraging!$C$10=$W$4,H36,"TBD")),IF(Leveraging!$C$11=V$4,IF(Leveraging!$C$10=$W$3,I36,IF(Leveraging!$C$10=$W$4,J36,"TBD")),"TBD"))</f>
        <v>TBD</v>
      </c>
      <c r="L36" s="18">
        <f>Leveraging!V$12</f>
        <v>-1.5144470108695658</v>
      </c>
      <c r="M36" s="63"/>
      <c r="N36" s="63"/>
      <c r="O36" s="63"/>
      <c r="P36" s="63"/>
      <c r="Q36" s="66"/>
      <c r="R36" s="66"/>
    </row>
    <row r="37" spans="1:18" x14ac:dyDescent="0.25">
      <c r="A37" s="2" t="str">
        <f>S$4&amp;T$5&amp;U$4&amp;X$4</f>
        <v>RehabilitationHigh-RiseWoodYes</v>
      </c>
      <c r="B37" s="10">
        <f>Leveraging!L$23</f>
        <v>1.4079999999999999</v>
      </c>
      <c r="C37" s="10">
        <f>Leveraging!O$23</f>
        <v>1.377</v>
      </c>
      <c r="D37" s="10">
        <f ca="1">Leveraging!R$23</f>
        <v>1.4159999999999999</v>
      </c>
      <c r="E37" s="10">
        <f ca="1">Leveraging!U$23</f>
        <v>0.71599999999999997</v>
      </c>
      <c r="F37" s="10">
        <f ca="1">IF(Leveraging!$C$11=V$3,IF(Leveraging!$C$10=$W$3,B37,C37),IF(Leveraging!$C$11=V$4,IF(Leveraging!$C$10=$W$3,D37,E37),"Complete Selections"))</f>
        <v>0.71599999999999997</v>
      </c>
      <c r="G37" s="12">
        <f>Leveraging!J$23</f>
        <v>228900</v>
      </c>
      <c r="H37" s="12">
        <f>Leveraging!M$23</f>
        <v>220800</v>
      </c>
      <c r="I37" s="12">
        <f>Leveraging!P$23</f>
        <v>237700</v>
      </c>
      <c r="J37" s="12">
        <f>Leveraging!S$23</f>
        <v>227100</v>
      </c>
      <c r="K37" s="12" t="str">
        <f>IF(Leveraging!$C$11=V$3,IF(Leveraging!$C$10=$W$3,G37,IF(Leveraging!$C$10=$W$4,H37,"TBD")),IF(Leveraging!$C$11=V$4,IF(Leveraging!$C$10=$W$3,I37,IF(Leveraging!$C$10=$W$4,J37,"TBD")),"TBD"))</f>
        <v>TBD</v>
      </c>
      <c r="L37" s="18">
        <f>Leveraging!V$23</f>
        <v>-1.2580559796437658</v>
      </c>
      <c r="M37" s="63"/>
      <c r="N37" s="63"/>
      <c r="O37" s="63"/>
      <c r="P37" s="63"/>
      <c r="Q37" s="66"/>
      <c r="R37" s="66"/>
    </row>
    <row r="38" spans="1:18" x14ac:dyDescent="0.25">
      <c r="A38" s="2" t="str">
        <f>S$4&amp;T$4&amp;U$3&amp;X$3</f>
        <v>RehabilitationMid-RiseConcreteNo</v>
      </c>
      <c r="B38" s="10">
        <f>Leveraging!L$12</f>
        <v>1.4690000000000001</v>
      </c>
      <c r="C38" s="10">
        <f>Leveraging!O$12</f>
        <v>1.429</v>
      </c>
      <c r="D38" s="10">
        <f ca="1">Leveraging!R$12</f>
        <v>1.4790000000000001</v>
      </c>
      <c r="E38" s="10">
        <f ca="1">Leveraging!U$12</f>
        <v>0.73699999999999999</v>
      </c>
      <c r="F38" s="10">
        <f ca="1">IF(Leveraging!$C$11=V$3,IF(Leveraging!$C$10=$W$3,B38,C38),IF(Leveraging!$C$11=V$4,IF(Leveraging!$C$10=$W$3,D38,E38),"Complete Selections"))</f>
        <v>0.73699999999999999</v>
      </c>
      <c r="G38" s="12">
        <f>Leveraging!J$12</f>
        <v>223900</v>
      </c>
      <c r="H38" s="12">
        <f>Leveraging!M$12</f>
        <v>215800</v>
      </c>
      <c r="I38" s="12">
        <f>Leveraging!P$12</f>
        <v>232700</v>
      </c>
      <c r="J38" s="12">
        <f>Leveraging!S$12</f>
        <v>222100</v>
      </c>
      <c r="K38" s="12" t="str">
        <f>IF(Leveraging!$C$11=V$3,IF(Leveraging!$C$10=$W$3,G38,IF(Leveraging!$C$10=$W$4,H38,"TBD")),IF(Leveraging!$C$11=V$4,IF(Leveraging!$C$10=$W$3,I38,IF(Leveraging!$C$10=$W$4,J38,"TBD")),"TBD"))</f>
        <v>TBD</v>
      </c>
      <c r="L38" s="18">
        <f>Leveraging!V$12</f>
        <v>-1.5144470108695658</v>
      </c>
      <c r="M38" s="63"/>
      <c r="N38" s="63"/>
      <c r="O38" s="63"/>
      <c r="P38" s="63"/>
      <c r="Q38" s="66"/>
      <c r="R38" s="66"/>
    </row>
    <row r="39" spans="1:18" x14ac:dyDescent="0.25">
      <c r="A39" s="2" t="str">
        <f>S$4&amp;T$4&amp;U$3&amp;X$4</f>
        <v>RehabilitationMid-RiseConcreteYes</v>
      </c>
      <c r="B39" s="10">
        <f>Leveraging!L$23</f>
        <v>1.4079999999999999</v>
      </c>
      <c r="C39" s="10">
        <f>Leveraging!O$23</f>
        <v>1.377</v>
      </c>
      <c r="D39" s="10">
        <f ca="1">Leveraging!R$23</f>
        <v>1.4159999999999999</v>
      </c>
      <c r="E39" s="10">
        <f ca="1">Leveraging!U$23</f>
        <v>0.71599999999999997</v>
      </c>
      <c r="F39" s="10">
        <f ca="1">IF(Leveraging!$C$11=V$3,IF(Leveraging!$C$10=$W$3,B39,C39),IF(Leveraging!$C$11=V$4,IF(Leveraging!$C$10=$W$3,D39,E39),"Complete Selections"))</f>
        <v>0.71599999999999997</v>
      </c>
      <c r="G39" s="12">
        <f>Leveraging!J$23</f>
        <v>228900</v>
      </c>
      <c r="H39" s="12">
        <f>Leveraging!M$23</f>
        <v>220800</v>
      </c>
      <c r="I39" s="12">
        <f>Leveraging!P$23</f>
        <v>237700</v>
      </c>
      <c r="J39" s="12">
        <f>Leveraging!S$23</f>
        <v>227100</v>
      </c>
      <c r="K39" s="12" t="str">
        <f>IF(Leveraging!$C$11=V$3,IF(Leveraging!$C$10=$W$3,G39,IF(Leveraging!$C$10=$W$4,H39,"TBD")),IF(Leveraging!$C$11=V$4,IF(Leveraging!$C$10=$W$3,I39,IF(Leveraging!$C$10=$W$4,J39,"TBD")),"TBD"))</f>
        <v>TBD</v>
      </c>
      <c r="L39" s="18">
        <f>Leveraging!V$23</f>
        <v>-1.2580559796437658</v>
      </c>
      <c r="M39" s="63"/>
      <c r="N39" s="63"/>
      <c r="O39" s="63"/>
      <c r="P39" s="63"/>
      <c r="Q39" s="66"/>
      <c r="R39" s="66"/>
    </row>
    <row r="40" spans="1:18" x14ac:dyDescent="0.25">
      <c r="A40" s="2" t="str">
        <f>S$4&amp;T$4&amp;U$5&amp;X$3</f>
        <v>RehabilitationMid-RiseRehabNo</v>
      </c>
      <c r="B40" s="10">
        <f>Leveraging!L$12</f>
        <v>1.4690000000000001</v>
      </c>
      <c r="C40" s="10">
        <f>Leveraging!O$12</f>
        <v>1.429</v>
      </c>
      <c r="D40" s="10">
        <f ca="1">Leveraging!R$12</f>
        <v>1.4790000000000001</v>
      </c>
      <c r="E40" s="10">
        <f ca="1">Leveraging!U$12</f>
        <v>0.73699999999999999</v>
      </c>
      <c r="F40" s="10">
        <f ca="1">IF(Leveraging!$C$11=V$3,IF(Leveraging!$C$10=$W$3,B40,C40),IF(Leveraging!$C$11=V$4,IF(Leveraging!$C$10=$W$3,D40,E40),"Complete Selections"))</f>
        <v>0.73699999999999999</v>
      </c>
      <c r="G40" s="12">
        <f>Leveraging!J$12</f>
        <v>223900</v>
      </c>
      <c r="H40" s="12">
        <f>Leveraging!M$12</f>
        <v>215800</v>
      </c>
      <c r="I40" s="12">
        <f>Leveraging!P$12</f>
        <v>232700</v>
      </c>
      <c r="J40" s="12">
        <f>Leveraging!S$12</f>
        <v>222100</v>
      </c>
      <c r="K40" s="12" t="str">
        <f>IF(Leveraging!$C$11=V$3,IF(Leveraging!$C$10=$W$3,G40,IF(Leveraging!$C$10=$W$4,H40,"TBD")),IF(Leveraging!$C$11=V$4,IF(Leveraging!$C$10=$W$3,I40,IF(Leveraging!$C$10=$W$4,J40,"TBD")),"TBD"))</f>
        <v>TBD</v>
      </c>
      <c r="L40" s="18">
        <f>Leveraging!V$12</f>
        <v>-1.5144470108695658</v>
      </c>
      <c r="M40" s="63"/>
      <c r="N40" s="63"/>
      <c r="O40" s="63"/>
      <c r="P40" s="63"/>
      <c r="Q40" s="66"/>
      <c r="R40" s="66"/>
    </row>
    <row r="41" spans="1:18" x14ac:dyDescent="0.25">
      <c r="A41" s="2" t="str">
        <f>S$4&amp;T$4&amp;U$5&amp;X$4</f>
        <v>RehabilitationMid-RiseRehabYes</v>
      </c>
      <c r="B41" s="10">
        <f>Leveraging!L$23</f>
        <v>1.4079999999999999</v>
      </c>
      <c r="C41" s="10">
        <f>Leveraging!O$23</f>
        <v>1.377</v>
      </c>
      <c r="D41" s="10">
        <f ca="1">Leveraging!R$23</f>
        <v>1.4159999999999999</v>
      </c>
      <c r="E41" s="10">
        <f ca="1">Leveraging!U$23</f>
        <v>0.71599999999999997</v>
      </c>
      <c r="F41" s="10">
        <f ca="1">IF(Leveraging!$C$11=V$3,IF(Leveraging!$C$10=$W$3,B41,C41),IF(Leveraging!$C$11=V$4,IF(Leveraging!$C$10=$W$3,D41,E41),"Complete Selections"))</f>
        <v>0.71599999999999997</v>
      </c>
      <c r="G41" s="12">
        <f>Leveraging!J$23</f>
        <v>228900</v>
      </c>
      <c r="H41" s="12">
        <f>Leveraging!M$23</f>
        <v>220800</v>
      </c>
      <c r="I41" s="12">
        <f>Leveraging!P$23</f>
        <v>237700</v>
      </c>
      <c r="J41" s="12">
        <f>Leveraging!S$23</f>
        <v>227100</v>
      </c>
      <c r="K41" s="12" t="str">
        <f>IF(Leveraging!$C$11=V$3,IF(Leveraging!$C$10=$W$3,G41,IF(Leveraging!$C$10=$W$4,H41,"TBD")),IF(Leveraging!$C$11=V$4,IF(Leveraging!$C$10=$W$3,I41,IF(Leveraging!$C$10=$W$4,J41,"TBD")),"TBD"))</f>
        <v>TBD</v>
      </c>
      <c r="L41" s="18">
        <f>Leveraging!V$23</f>
        <v>-1.2580559796437658</v>
      </c>
      <c r="M41" s="63"/>
      <c r="N41" s="63"/>
      <c r="O41" s="63"/>
      <c r="P41" s="63"/>
      <c r="Q41" s="66"/>
      <c r="R41" s="66"/>
    </row>
    <row r="42" spans="1:18" x14ac:dyDescent="0.25">
      <c r="A42" s="2" t="str">
        <f>S$4&amp;T$4&amp;U$4&amp;X$3</f>
        <v>RehabilitationMid-RiseWoodNo</v>
      </c>
      <c r="B42" s="10">
        <f>Leveraging!L$12</f>
        <v>1.4690000000000001</v>
      </c>
      <c r="C42" s="10">
        <f>Leveraging!O$12</f>
        <v>1.429</v>
      </c>
      <c r="D42" s="10">
        <f ca="1">Leveraging!R$12</f>
        <v>1.4790000000000001</v>
      </c>
      <c r="E42" s="10">
        <f ca="1">Leveraging!U$12</f>
        <v>0.73699999999999999</v>
      </c>
      <c r="F42" s="10">
        <f ca="1">IF(Leveraging!$C$11=V$3,IF(Leveraging!$C$10=$W$3,B42,C42),IF(Leveraging!$C$11=V$4,IF(Leveraging!$C$10=$W$3,D42,E42),"Complete Selections"))</f>
        <v>0.73699999999999999</v>
      </c>
      <c r="G42" s="12">
        <f>Leveraging!J$12</f>
        <v>223900</v>
      </c>
      <c r="H42" s="12">
        <f>Leveraging!M$12</f>
        <v>215800</v>
      </c>
      <c r="I42" s="12">
        <f>Leveraging!P$12</f>
        <v>232700</v>
      </c>
      <c r="J42" s="12">
        <f>Leveraging!S$12</f>
        <v>222100</v>
      </c>
      <c r="K42" s="12" t="str">
        <f>IF(Leveraging!$C$11=V$3,IF(Leveraging!$C$10=$W$3,G42,IF(Leveraging!$C$10=$W$4,H42,"TBD")),IF(Leveraging!$C$11=V$4,IF(Leveraging!$C$10=$W$3,I42,IF(Leveraging!$C$10=$W$4,J42,"TBD")),"TBD"))</f>
        <v>TBD</v>
      </c>
      <c r="L42" s="18">
        <f>Leveraging!V$12</f>
        <v>-1.5144470108695658</v>
      </c>
      <c r="M42" s="63"/>
      <c r="N42" s="63"/>
      <c r="O42" s="63"/>
      <c r="P42" s="63"/>
      <c r="Q42" s="66"/>
      <c r="R42" s="66"/>
    </row>
    <row r="43" spans="1:18" x14ac:dyDescent="0.25">
      <c r="A43" s="2" t="str">
        <f>S$4&amp;T$4&amp;U$4&amp;X$4</f>
        <v>RehabilitationMid-RiseWoodYes</v>
      </c>
      <c r="B43" s="10">
        <f>Leveraging!L$23</f>
        <v>1.4079999999999999</v>
      </c>
      <c r="C43" s="10">
        <f>Leveraging!O$23</f>
        <v>1.377</v>
      </c>
      <c r="D43" s="10">
        <f ca="1">Leveraging!R$23</f>
        <v>1.4159999999999999</v>
      </c>
      <c r="E43" s="10">
        <f ca="1">Leveraging!U$23</f>
        <v>0.71599999999999997</v>
      </c>
      <c r="F43" s="10">
        <f ca="1">IF(Leveraging!$C$11=V$3,IF(Leveraging!$C$10=$W$3,B43,C43),IF(Leveraging!$C$11=V$4,IF(Leveraging!$C$10=$W$3,D43,E43),"Complete Selections"))</f>
        <v>0.71599999999999997</v>
      </c>
      <c r="G43" s="12">
        <f>Leveraging!J$23</f>
        <v>228900</v>
      </c>
      <c r="H43" s="12">
        <f>Leveraging!M$23</f>
        <v>220800</v>
      </c>
      <c r="I43" s="12">
        <f>Leveraging!P$23</f>
        <v>237700</v>
      </c>
      <c r="J43" s="12">
        <f>Leveraging!S$23</f>
        <v>227100</v>
      </c>
      <c r="K43" s="12" t="str">
        <f>IF(Leveraging!$C$11=V$3,IF(Leveraging!$C$10=$W$3,G43,IF(Leveraging!$C$10=$W$4,H43,"TBD")),IF(Leveraging!$C$11=V$4,IF(Leveraging!$C$10=$W$3,I43,IF(Leveraging!$C$10=$W$4,J43,"TBD")),"TBD"))</f>
        <v>TBD</v>
      </c>
      <c r="L43" s="18">
        <f>Leveraging!V$23</f>
        <v>-1.2580559796437658</v>
      </c>
      <c r="M43" s="63"/>
      <c r="N43" s="63"/>
      <c r="O43" s="63"/>
      <c r="P43" s="63"/>
      <c r="Q43" s="66"/>
      <c r="R43" s="66"/>
    </row>
    <row r="44" spans="1:18" x14ac:dyDescent="0.25">
      <c r="A44" s="2" t="str">
        <f>S$4&amp;T$6&amp;U$3&amp;X$3</f>
        <v>RehabilitationNon-GardenConcreteNo</v>
      </c>
      <c r="B44" s="10">
        <f>Leveraging!L$12</f>
        <v>1.4690000000000001</v>
      </c>
      <c r="C44" s="10">
        <f>Leveraging!O$12</f>
        <v>1.429</v>
      </c>
      <c r="D44" s="10">
        <f ca="1">Leveraging!R$12</f>
        <v>1.4790000000000001</v>
      </c>
      <c r="E44" s="10">
        <f ca="1">Leveraging!U$12</f>
        <v>0.73699999999999999</v>
      </c>
      <c r="F44" s="10">
        <f ca="1">IF(Leveraging!$C$11=V$3,IF(Leveraging!$C$10=$W$3,B44,C44),IF(Leveraging!$C$11=V$4,IF(Leveraging!$C$10=$W$3,D44,E44),"Complete Selections"))</f>
        <v>0.73699999999999999</v>
      </c>
      <c r="G44" s="12">
        <f>Leveraging!J$12</f>
        <v>223900</v>
      </c>
      <c r="H44" s="12">
        <f>Leveraging!M$12</f>
        <v>215800</v>
      </c>
      <c r="I44" s="12">
        <f>Leveraging!P$12</f>
        <v>232700</v>
      </c>
      <c r="J44" s="12">
        <f>Leveraging!S$12</f>
        <v>222100</v>
      </c>
      <c r="K44" s="12" t="str">
        <f>IF(Leveraging!$C$11=V$3,IF(Leveraging!$C$10=$W$3,G44,IF(Leveraging!$C$10=$W$4,H44,"TBD")),IF(Leveraging!$C$11=V$4,IF(Leveraging!$C$10=$W$3,I44,IF(Leveraging!$C$10=$W$4,J44,"TBD")),"TBD"))</f>
        <v>TBD</v>
      </c>
      <c r="L44" s="18">
        <f>Leveraging!V$12</f>
        <v>-1.5144470108695658</v>
      </c>
      <c r="M44" s="63"/>
      <c r="N44" s="63"/>
      <c r="O44" s="63"/>
      <c r="P44" s="63"/>
      <c r="Q44" s="66"/>
      <c r="R44" s="66"/>
    </row>
    <row r="45" spans="1:18" x14ac:dyDescent="0.25">
      <c r="A45" s="2" t="str">
        <f>S$4&amp;T$6&amp;U$3&amp;X$4</f>
        <v>RehabilitationNon-GardenConcreteYes</v>
      </c>
      <c r="B45" s="10">
        <f>Leveraging!L$23</f>
        <v>1.4079999999999999</v>
      </c>
      <c r="C45" s="10">
        <f>Leveraging!O$23</f>
        <v>1.377</v>
      </c>
      <c r="D45" s="10">
        <f ca="1">Leveraging!R$23</f>
        <v>1.4159999999999999</v>
      </c>
      <c r="E45" s="10">
        <f ca="1">Leveraging!U$23</f>
        <v>0.71599999999999997</v>
      </c>
      <c r="F45" s="10">
        <f ca="1">IF(Leveraging!$C$11=V$3,IF(Leveraging!$C$10=$W$3,B45,C45),IF(Leveraging!$C$11=V$4,IF(Leveraging!$C$10=$W$3,D45,E45),"Complete Selections"))</f>
        <v>0.71599999999999997</v>
      </c>
      <c r="G45" s="12">
        <f>Leveraging!J$23</f>
        <v>228900</v>
      </c>
      <c r="H45" s="12">
        <f>Leveraging!M$23</f>
        <v>220800</v>
      </c>
      <c r="I45" s="12">
        <f>Leveraging!P$23</f>
        <v>237700</v>
      </c>
      <c r="J45" s="12">
        <f>Leveraging!S$23</f>
        <v>227100</v>
      </c>
      <c r="K45" s="12" t="str">
        <f>IF(Leveraging!$C$11=V$3,IF(Leveraging!$C$10=$W$3,G45,IF(Leveraging!$C$10=$W$4,H45,"TBD")),IF(Leveraging!$C$11=V$4,IF(Leveraging!$C$10=$W$3,I45,IF(Leveraging!$C$10=$W$4,J45,"TBD")),"TBD"))</f>
        <v>TBD</v>
      </c>
      <c r="L45" s="18">
        <f>Leveraging!V$23</f>
        <v>-1.2580559796437658</v>
      </c>
      <c r="M45" s="63"/>
      <c r="N45" s="63"/>
      <c r="O45" s="63"/>
      <c r="P45" s="63"/>
      <c r="Q45" s="66"/>
      <c r="R45" s="66"/>
    </row>
    <row r="46" spans="1:18" x14ac:dyDescent="0.25">
      <c r="A46" s="1" t="str">
        <f>S$4&amp;T$6&amp;U$5&amp;X$3</f>
        <v>RehabilitationNon-GardenRehabNo</v>
      </c>
      <c r="B46" s="10">
        <f>Leveraging!L$12</f>
        <v>1.4690000000000001</v>
      </c>
      <c r="C46" s="10">
        <f>Leveraging!O$12</f>
        <v>1.429</v>
      </c>
      <c r="D46" s="10">
        <f ca="1">Leveraging!R$12</f>
        <v>1.4790000000000001</v>
      </c>
      <c r="E46" s="10">
        <f ca="1">Leveraging!U$12</f>
        <v>0.73699999999999999</v>
      </c>
      <c r="F46" s="10">
        <f ca="1">IF(Leveraging!$C$11=V$3,IF(Leveraging!$C$10=$W$3,B46,C46),IF(Leveraging!$C$11=V$4,IF(Leveraging!$C$10=$W$3,D46,E46),"Complete Selections"))</f>
        <v>0.73699999999999999</v>
      </c>
      <c r="G46" s="12">
        <f>Leveraging!J$12</f>
        <v>223900</v>
      </c>
      <c r="H46" s="12">
        <f>Leveraging!M$12</f>
        <v>215800</v>
      </c>
      <c r="I46" s="12">
        <f>Leveraging!P$12</f>
        <v>232700</v>
      </c>
      <c r="J46" s="12">
        <f>Leveraging!S$12</f>
        <v>222100</v>
      </c>
      <c r="K46" s="12" t="str">
        <f>IF(Leveraging!$C$11=V$3,IF(Leveraging!$C$10=$W$3,G46,IF(Leveraging!$C$10=$W$4,H46,"TBD")),IF(Leveraging!$C$11=V$4,IF(Leveraging!$C$10=$W$3,I46,IF(Leveraging!$C$10=$W$4,J46,"TBD")),"TBD"))</f>
        <v>TBD</v>
      </c>
      <c r="L46" s="18">
        <f>Leveraging!V$12</f>
        <v>-1.5144470108695658</v>
      </c>
      <c r="M46" s="62">
        <v>2950690.9716379801</v>
      </c>
      <c r="N46" s="62">
        <v>5661772.6134233046</v>
      </c>
      <c r="O46" s="62">
        <v>17529875</v>
      </c>
      <c r="P46" s="62">
        <v>16774625</v>
      </c>
      <c r="Q46" s="65">
        <v>0.25</v>
      </c>
      <c r="R46" s="65">
        <v>0.25</v>
      </c>
    </row>
    <row r="47" spans="1:18" x14ac:dyDescent="0.25">
      <c r="A47" s="1" t="str">
        <f>S$4&amp;T$6&amp;U$5&amp;X$4</f>
        <v>RehabilitationNon-GardenRehabYes</v>
      </c>
      <c r="B47" s="10">
        <f>Leveraging!L$23</f>
        <v>1.4079999999999999</v>
      </c>
      <c r="C47" s="10">
        <f>Leveraging!O$23</f>
        <v>1.377</v>
      </c>
      <c r="D47" s="10">
        <f ca="1">Leveraging!R$23</f>
        <v>1.4159999999999999</v>
      </c>
      <c r="E47" s="10">
        <f ca="1">Leveraging!U$23</f>
        <v>0.71599999999999997</v>
      </c>
      <c r="F47" s="10">
        <f ca="1">IF(Leveraging!$C$11=V$3,IF(Leveraging!$C$10=$W$3,B47,C47),IF(Leveraging!$C$11=V$4,IF(Leveraging!$C$10=$W$3,D47,E47),"Complete Selections"))</f>
        <v>0.71599999999999997</v>
      </c>
      <c r="G47" s="12">
        <f>Leveraging!J$23</f>
        <v>228900</v>
      </c>
      <c r="H47" s="12">
        <f>Leveraging!M$23</f>
        <v>220800</v>
      </c>
      <c r="I47" s="12">
        <f>Leveraging!P$23</f>
        <v>237700</v>
      </c>
      <c r="J47" s="12">
        <f>Leveraging!S$23</f>
        <v>227100</v>
      </c>
      <c r="K47" s="12" t="str">
        <f>IF(Leveraging!$C$11=V$3,IF(Leveraging!$C$10=$W$3,G47,IF(Leveraging!$C$10=$W$4,H47,"TBD")),IF(Leveraging!$C$11=V$4,IF(Leveraging!$C$10=$W$3,I47,IF(Leveraging!$C$10=$W$4,J47,"TBD")),"TBD"))</f>
        <v>TBD</v>
      </c>
      <c r="L47" s="18">
        <f>Leveraging!V$23</f>
        <v>-1.2580559796437658</v>
      </c>
      <c r="M47" s="62">
        <v>3141670.471019337</v>
      </c>
      <c r="N47" s="62">
        <v>5885591.0248947479</v>
      </c>
      <c r="O47" s="62">
        <v>17886125</v>
      </c>
      <c r="P47" s="62">
        <v>17130875</v>
      </c>
      <c r="Q47" s="65">
        <v>0.25</v>
      </c>
      <c r="R47" s="65">
        <v>0.25</v>
      </c>
    </row>
    <row r="48" spans="1:18" x14ac:dyDescent="0.25">
      <c r="A48" s="2" t="str">
        <f>S$4&amp;T$6&amp;U$4&amp;X$3</f>
        <v>RehabilitationNon-GardenWoodNo</v>
      </c>
      <c r="B48" s="10">
        <f>Leveraging!L$12</f>
        <v>1.4690000000000001</v>
      </c>
      <c r="C48" s="10">
        <f>Leveraging!O$12</f>
        <v>1.429</v>
      </c>
      <c r="D48" s="10">
        <f ca="1">Leveraging!R$12</f>
        <v>1.4790000000000001</v>
      </c>
      <c r="E48" s="10">
        <f ca="1">Leveraging!U$12</f>
        <v>0.73699999999999999</v>
      </c>
      <c r="F48" s="10">
        <f ca="1">IF(Leveraging!$C$11=V$3,IF(Leveraging!$C$10=$W$3,B48,C48),IF(Leveraging!$C$11=V$4,IF(Leveraging!$C$10=$W$3,D48,E48),"Complete Selections"))</f>
        <v>0.73699999999999999</v>
      </c>
      <c r="G48" s="12">
        <f>Leveraging!J$12</f>
        <v>223900</v>
      </c>
      <c r="H48" s="12">
        <f>Leveraging!M$12</f>
        <v>215800</v>
      </c>
      <c r="I48" s="12">
        <f>Leveraging!P$12</f>
        <v>232700</v>
      </c>
      <c r="J48" s="12">
        <f>Leveraging!S$12</f>
        <v>222100</v>
      </c>
      <c r="K48" s="12" t="str">
        <f>IF(Leveraging!$C$11=V$3,IF(Leveraging!$C$10=$W$3,G48,IF(Leveraging!$C$10=$W$4,H48,"TBD")),IF(Leveraging!$C$11=V$4,IF(Leveraging!$C$10=$W$3,I48,IF(Leveraging!$C$10=$W$4,J48,"TBD")),"TBD"))</f>
        <v>TBD</v>
      </c>
      <c r="L48" s="18">
        <f>Leveraging!V$12</f>
        <v>-1.5144470108695658</v>
      </c>
      <c r="M48" s="63"/>
      <c r="N48" s="63"/>
      <c r="O48" s="63"/>
      <c r="P48" s="63"/>
      <c r="Q48" s="66"/>
      <c r="R48" s="66"/>
    </row>
    <row r="49" spans="1:18" x14ac:dyDescent="0.25">
      <c r="A49" s="2" t="str">
        <f>S$4&amp;T$6&amp;U$4&amp;X$4</f>
        <v>RehabilitationNon-GardenWoodYes</v>
      </c>
      <c r="B49" s="10">
        <f>Leveraging!L$23</f>
        <v>1.4079999999999999</v>
      </c>
      <c r="C49" s="10">
        <f>Leveraging!O$23</f>
        <v>1.377</v>
      </c>
      <c r="D49" s="10">
        <f ca="1">Leveraging!R$23</f>
        <v>1.4159999999999999</v>
      </c>
      <c r="E49" s="10">
        <f ca="1">Leveraging!U$23</f>
        <v>0.71599999999999997</v>
      </c>
      <c r="F49" s="10">
        <f ca="1">IF(Leveraging!$C$11=V$3,IF(Leveraging!$C$10=$W$3,B49,C49),IF(Leveraging!$C$11=V$4,IF(Leveraging!$C$10=$W$3,D49,E49),"Complete Selections"))</f>
        <v>0.71599999999999997</v>
      </c>
      <c r="G49" s="12">
        <f>Leveraging!J$23</f>
        <v>228900</v>
      </c>
      <c r="H49" s="12">
        <f>Leveraging!M$23</f>
        <v>220800</v>
      </c>
      <c r="I49" s="12">
        <f>Leveraging!P$23</f>
        <v>237700</v>
      </c>
      <c r="J49" s="12">
        <f>Leveraging!S$23</f>
        <v>227100</v>
      </c>
      <c r="K49" s="12" t="str">
        <f>IF(Leveraging!$C$11=V$3,IF(Leveraging!$C$10=$W$3,G49,IF(Leveraging!$C$10=$W$4,H49,"TBD")),IF(Leveraging!$C$11=V$4,IF(Leveraging!$C$10=$W$3,I49,IF(Leveraging!$C$10=$W$4,J49,"TBD")),"TBD"))</f>
        <v>TBD</v>
      </c>
      <c r="L49" s="18">
        <f>Leveraging!V$23</f>
        <v>-1.2580559796437658</v>
      </c>
      <c r="M49" s="63"/>
      <c r="N49" s="63"/>
      <c r="O49" s="63"/>
      <c r="P49" s="63"/>
      <c r="Q49" s="66"/>
      <c r="R49" s="66"/>
    </row>
    <row r="50" spans="1:18" x14ac:dyDescent="0.25">
      <c r="N50" t="s">
        <v>81</v>
      </c>
    </row>
    <row r="51" spans="1:18" x14ac:dyDescent="0.25">
      <c r="N51" t="s">
        <v>80</v>
      </c>
    </row>
  </sheetData>
  <sheetProtection algorithmName="SHA-512" hashValue="Hixpag1S7LYd6WRS+8PJMueZxqNs1pg7aDw0lj+HzVEOkOa3cQiDy+sHTwtW/0n1iZlyrJkxLMgE6pLnFy43gw==" saltValue="vlaQHTeJiV+KoGcLx+WEGg==" spinCount="100000" sheet="1" selectLockedCells="1"/>
  <sortState ref="A2:L49">
    <sortCondition ref="A2:A49"/>
  </sortState>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zoomScale="70" zoomScaleNormal="70" zoomScaleSheetLayoutView="70" workbookViewId="0">
      <selection activeCell="C5" sqref="C5:D5"/>
    </sheetView>
  </sheetViews>
  <sheetFormatPr defaultColWidth="9.140625" defaultRowHeight="15" x14ac:dyDescent="0.25"/>
  <cols>
    <col min="1" max="1" width="12" style="4" customWidth="1"/>
    <col min="2" max="2" width="34.42578125" style="4" customWidth="1"/>
    <col min="3" max="3" width="14.7109375" style="4" customWidth="1"/>
    <col min="4" max="4" width="14.140625" style="4" customWidth="1"/>
    <col min="5" max="5" width="67.28515625" style="4" customWidth="1"/>
    <col min="6" max="6" width="2.42578125" style="4" customWidth="1"/>
    <col min="7" max="7" width="7" style="4" customWidth="1"/>
    <col min="8" max="8" width="10.7109375" style="4" customWidth="1"/>
    <col min="9" max="9" width="11.28515625" style="4" customWidth="1"/>
    <col min="10" max="10" width="10.7109375" style="4" hidden="1" customWidth="1"/>
    <col min="11" max="11" width="14.7109375" style="4" hidden="1" customWidth="1"/>
    <col min="12" max="12" width="12.7109375" style="4" hidden="1" customWidth="1"/>
    <col min="13" max="13" width="10.7109375" style="4" hidden="1" customWidth="1"/>
    <col min="14" max="14" width="14.7109375" style="4" hidden="1" customWidth="1"/>
    <col min="15" max="15" width="12.7109375" style="4" hidden="1" customWidth="1"/>
    <col min="16" max="16" width="10.7109375" style="4" customWidth="1"/>
    <col min="17" max="17" width="14.7109375" style="4" customWidth="1"/>
    <col min="18" max="18" width="12.7109375" style="4" customWidth="1"/>
    <col min="19" max="19" width="10.7109375" style="4" customWidth="1"/>
    <col min="20" max="20" width="14.7109375" style="4" customWidth="1"/>
    <col min="21" max="21" width="12.7109375" style="4" customWidth="1"/>
    <col min="22" max="23" width="21.42578125" style="4" hidden="1" customWidth="1"/>
    <col min="24" max="25" width="11.28515625" style="4" customWidth="1"/>
    <col min="26" max="40" width="12.7109375" style="4" customWidth="1"/>
    <col min="41" max="16384" width="9.140625" style="4"/>
  </cols>
  <sheetData>
    <row r="1" spans="1:25" ht="6" customHeight="1" thickBot="1" x14ac:dyDescent="0.3"/>
    <row r="2" spans="1:25" ht="39.950000000000003" customHeight="1" x14ac:dyDescent="0.35">
      <c r="A2" s="3" t="s">
        <v>51</v>
      </c>
      <c r="G2" s="92" t="s">
        <v>52</v>
      </c>
      <c r="H2" s="93"/>
      <c r="I2" s="94"/>
      <c r="J2" s="76" t="s">
        <v>55</v>
      </c>
      <c r="K2" s="76"/>
      <c r="L2" s="101"/>
      <c r="M2" s="79" t="s">
        <v>56</v>
      </c>
      <c r="N2" s="76"/>
      <c r="O2" s="80"/>
      <c r="P2" s="75" t="s">
        <v>57</v>
      </c>
      <c r="Q2" s="76"/>
      <c r="R2" s="76"/>
      <c r="S2" s="79" t="s">
        <v>58</v>
      </c>
      <c r="T2" s="76"/>
      <c r="U2" s="80"/>
      <c r="V2" s="134" t="s">
        <v>72</v>
      </c>
      <c r="W2" s="134" t="s">
        <v>73</v>
      </c>
    </row>
    <row r="3" spans="1:25" ht="21.95" customHeight="1" x14ac:dyDescent="0.35">
      <c r="A3" s="3"/>
      <c r="E3" s="17" t="s">
        <v>65</v>
      </c>
      <c r="G3" s="125" t="s">
        <v>64</v>
      </c>
      <c r="H3" s="126"/>
      <c r="I3" s="127"/>
      <c r="J3" s="102" t="s">
        <v>35</v>
      </c>
      <c r="K3" s="81" t="s">
        <v>54</v>
      </c>
      <c r="L3" s="82" t="s">
        <v>53</v>
      </c>
      <c r="M3" s="133" t="s">
        <v>35</v>
      </c>
      <c r="N3" s="81" t="s">
        <v>54</v>
      </c>
      <c r="O3" s="83" t="s">
        <v>53</v>
      </c>
      <c r="P3" s="77" t="s">
        <v>35</v>
      </c>
      <c r="Q3" s="81" t="s">
        <v>54</v>
      </c>
      <c r="R3" s="81" t="s">
        <v>53</v>
      </c>
      <c r="S3" s="133" t="s">
        <v>35</v>
      </c>
      <c r="T3" s="81" t="s">
        <v>54</v>
      </c>
      <c r="U3" s="83" t="s">
        <v>53</v>
      </c>
      <c r="V3" s="135"/>
      <c r="W3" s="135"/>
    </row>
    <row r="4" spans="1:25" ht="9.9499999999999993" customHeight="1" x14ac:dyDescent="0.25">
      <c r="C4" s="5"/>
      <c r="D4" s="5"/>
      <c r="G4" s="128"/>
      <c r="H4" s="129"/>
      <c r="I4" s="130"/>
      <c r="J4" s="81"/>
      <c r="K4" s="81"/>
      <c r="L4" s="82"/>
      <c r="M4" s="124"/>
      <c r="N4" s="81"/>
      <c r="O4" s="83"/>
      <c r="P4" s="78"/>
      <c r="Q4" s="81"/>
      <c r="R4" s="81"/>
      <c r="S4" s="124"/>
      <c r="T4" s="81"/>
      <c r="U4" s="83"/>
      <c r="V4" s="135"/>
      <c r="W4" s="135"/>
    </row>
    <row r="5" spans="1:25" ht="21.95" customHeight="1" x14ac:dyDescent="0.25">
      <c r="B5" s="6" t="s">
        <v>18</v>
      </c>
      <c r="C5" s="87">
        <v>0</v>
      </c>
      <c r="D5" s="87"/>
      <c r="E5" s="32" t="str">
        <f ca="1">IF(OR(C5=0,CELL("type",C5)="b"),"(Enter a SAIL Request Amount)","")</f>
        <v>(Enter a SAIL Request Amount)</v>
      </c>
      <c r="G5" s="120" t="s">
        <v>45</v>
      </c>
      <c r="H5" s="121"/>
      <c r="I5" s="122"/>
      <c r="J5" s="81"/>
      <c r="K5" s="81"/>
      <c r="L5" s="82"/>
      <c r="M5" s="124"/>
      <c r="N5" s="81"/>
      <c r="O5" s="83"/>
      <c r="P5" s="78"/>
      <c r="Q5" s="81"/>
      <c r="R5" s="81"/>
      <c r="S5" s="124"/>
      <c r="T5" s="81"/>
      <c r="U5" s="83"/>
      <c r="V5" s="136"/>
      <c r="W5" s="136"/>
    </row>
    <row r="6" spans="1:25" ht="21.95" customHeight="1" x14ac:dyDescent="0.25">
      <c r="B6" s="6" t="s">
        <v>19</v>
      </c>
      <c r="C6" s="88">
        <v>0</v>
      </c>
      <c r="D6" s="88"/>
      <c r="E6" s="32" t="str">
        <f ca="1">IF(OR(C6=0,CELL("type",C6)="b"),"(Enter a Total Development Cost)","")</f>
        <v>(Enter a Total Development Cost)</v>
      </c>
      <c r="G6" s="95" t="s">
        <v>26</v>
      </c>
      <c r="H6" s="96"/>
      <c r="I6" s="97"/>
      <c r="J6" s="56">
        <v>189900</v>
      </c>
      <c r="K6" s="45">
        <f t="shared" ref="K6:K12" si="0">IF($J6=0,0,$M$11/$J6)</f>
        <v>0.81411269088994209</v>
      </c>
      <c r="L6" s="61">
        <f t="shared" ref="L6:L12" si="1">IF($J6=0,0,ROUND(1-$V6*(1-$M$11/$J6),3))</f>
        <v>0.04</v>
      </c>
      <c r="M6" s="53">
        <v>183000</v>
      </c>
      <c r="N6" s="44">
        <f t="shared" ref="N6:N12" si="2">IF($M6=0,0,$M$11/$M6)</f>
        <v>0.84480874316939891</v>
      </c>
      <c r="O6" s="8">
        <f t="shared" ref="O6:O12" si="3">IF($M6=0,0,ROUND(1-$V6*(1-$M$11/$M6),3))</f>
        <v>0.19800000000000001</v>
      </c>
      <c r="P6" s="53">
        <v>197300</v>
      </c>
      <c r="Q6" s="44">
        <f t="shared" ref="Q6:Q12" ca="1" si="4">IF(OR($P6=0,CELL("Type",$P6)="l"),0,$S$11/$P6)</f>
        <v>0.806386213887481</v>
      </c>
      <c r="R6" s="60">
        <f t="shared" ref="R6:R12" ca="1" si="5">IF(OR($P6=0,CELL("Type",$P6)="l"),0,ROUND(1-$V6*(1-$S$11/$P6),3))</f>
        <v>0</v>
      </c>
      <c r="S6" s="50">
        <v>188300</v>
      </c>
      <c r="T6" s="44">
        <f t="shared" ref="T6:T12" ca="1" si="6">IF(OR($S6=0,CELL("Type",$S6)="l"),0,$S$11/$S6)</f>
        <v>0.84492830589484869</v>
      </c>
      <c r="U6" s="8">
        <f t="shared" ref="U6:U12" ca="1" si="7">IF(OR($S6=0,CELL("Type",$S6)="l"),0,ROUND(1-$W6*(1-$S$11/$S6),3))</f>
        <v>0.80100000000000005</v>
      </c>
      <c r="V6" s="70">
        <v>5.164921465968586</v>
      </c>
      <c r="W6" s="71">
        <v>1.283277397260274</v>
      </c>
    </row>
    <row r="7" spans="1:25" ht="21.95" customHeight="1" x14ac:dyDescent="0.25">
      <c r="B7" s="6" t="s">
        <v>0</v>
      </c>
      <c r="C7" s="84" t="s">
        <v>3</v>
      </c>
      <c r="D7" s="84"/>
      <c r="E7" s="22" t="str">
        <f>IF(C7=Menues!S$2,"(Please select on option from the drop-down menu)","")</f>
        <v>(Please select on option from the drop-down menu)</v>
      </c>
      <c r="G7" s="98" t="s">
        <v>27</v>
      </c>
      <c r="H7" s="99"/>
      <c r="I7" s="100"/>
      <c r="J7" s="57">
        <v>227300</v>
      </c>
      <c r="K7" s="46">
        <f t="shared" si="0"/>
        <v>0.68015838099428072</v>
      </c>
      <c r="L7" s="39">
        <f t="shared" si="1"/>
        <v>1.3089999999999999</v>
      </c>
      <c r="M7" s="54">
        <v>219000</v>
      </c>
      <c r="N7" s="48">
        <f t="shared" si="2"/>
        <v>0.70593607305936068</v>
      </c>
      <c r="O7" s="41">
        <f t="shared" si="3"/>
        <v>1.284</v>
      </c>
      <c r="P7" s="54">
        <v>236200</v>
      </c>
      <c r="Q7" s="48">
        <f t="shared" ca="1" si="4"/>
        <v>0.67358171041490267</v>
      </c>
      <c r="R7" s="42">
        <f t="shared" ca="1" si="5"/>
        <v>1.3149999999999999</v>
      </c>
      <c r="S7" s="51">
        <v>225400</v>
      </c>
      <c r="T7" s="48">
        <f t="shared" ca="1" si="6"/>
        <v>0.70585625554569653</v>
      </c>
      <c r="U7" s="41">
        <f t="shared" ca="1" si="7"/>
        <v>0.71099999999999997</v>
      </c>
      <c r="V7" s="72">
        <v>-0.96501945525291821</v>
      </c>
      <c r="W7" s="72">
        <v>0.98251282051282063</v>
      </c>
    </row>
    <row r="8" spans="1:25" ht="21.95" customHeight="1" x14ac:dyDescent="0.25">
      <c r="B8" s="6" t="s">
        <v>11</v>
      </c>
      <c r="C8" s="84" t="s">
        <v>6</v>
      </c>
      <c r="D8" s="84"/>
      <c r="E8" s="22" t="str">
        <f>IF(C8=Menues!T$2,"(Please select on option from the drop-down menu)","")</f>
        <v>(Please select on option from the drop-down menu)</v>
      </c>
      <c r="G8" s="95" t="s">
        <v>28</v>
      </c>
      <c r="H8" s="96"/>
      <c r="I8" s="97"/>
      <c r="J8" s="56">
        <v>227300</v>
      </c>
      <c r="K8" s="45">
        <f t="shared" si="0"/>
        <v>0.68015838099428072</v>
      </c>
      <c r="L8" s="61">
        <f t="shared" si="1"/>
        <v>0.02</v>
      </c>
      <c r="M8" s="53">
        <v>219000</v>
      </c>
      <c r="N8" s="44">
        <f t="shared" si="2"/>
        <v>0.70593607305936068</v>
      </c>
      <c r="O8" s="8">
        <f t="shared" si="3"/>
        <v>9.9000000000000005E-2</v>
      </c>
      <c r="P8" s="53">
        <v>236200</v>
      </c>
      <c r="Q8" s="44">
        <f t="shared" ca="1" si="4"/>
        <v>0.67358171041490267</v>
      </c>
      <c r="R8" s="60">
        <f t="shared" ca="1" si="5"/>
        <v>0</v>
      </c>
      <c r="S8" s="50">
        <v>225400</v>
      </c>
      <c r="T8" s="44">
        <f t="shared" ca="1" si="6"/>
        <v>0.70585625554569653</v>
      </c>
      <c r="U8" s="8">
        <f t="shared" ca="1" si="7"/>
        <v>0.71099999999999997</v>
      </c>
      <c r="V8" s="70">
        <v>3.0635538261997408</v>
      </c>
      <c r="W8" s="71">
        <v>0.98251282051282063</v>
      </c>
    </row>
    <row r="9" spans="1:25" ht="21.95" customHeight="1" x14ac:dyDescent="0.25">
      <c r="B9" s="6" t="s">
        <v>33</v>
      </c>
      <c r="C9" s="84" t="s">
        <v>13</v>
      </c>
      <c r="D9" s="84"/>
      <c r="E9" s="22" t="str">
        <f>IF(C9=Menues!U$2,"(Please select on option from the drop-down menu)","")</f>
        <v>(Please select on option from the drop-down menu)</v>
      </c>
      <c r="G9" s="98" t="s">
        <v>29</v>
      </c>
      <c r="H9" s="99"/>
      <c r="I9" s="100"/>
      <c r="J9" s="57">
        <v>250000</v>
      </c>
      <c r="K9" s="46">
        <f t="shared" si="0"/>
        <v>0.61839999999999995</v>
      </c>
      <c r="L9" s="39">
        <f t="shared" si="1"/>
        <v>1.153</v>
      </c>
      <c r="M9" s="54">
        <v>240900</v>
      </c>
      <c r="N9" s="48">
        <f t="shared" si="2"/>
        <v>0.64176006641760064</v>
      </c>
      <c r="O9" s="41">
        <f t="shared" si="3"/>
        <v>1.143</v>
      </c>
      <c r="P9" s="54">
        <v>259800</v>
      </c>
      <c r="Q9" s="48">
        <f t="shared" ca="1" si="4"/>
        <v>0.61239414934565051</v>
      </c>
      <c r="R9" s="42">
        <f t="shared" ca="1" si="5"/>
        <v>1.155</v>
      </c>
      <c r="S9" s="51">
        <v>248000</v>
      </c>
      <c r="T9" s="48">
        <f t="shared" ca="1" si="6"/>
        <v>0.64153225806451608</v>
      </c>
      <c r="U9" s="41">
        <f t="shared" ca="1" si="7"/>
        <v>0.67700000000000005</v>
      </c>
      <c r="V9" s="72">
        <v>-0.39989076464746781</v>
      </c>
      <c r="W9" s="72">
        <v>0.90105736782902113</v>
      </c>
    </row>
    <row r="10" spans="1:25" ht="21.95" customHeight="1" x14ac:dyDescent="0.25">
      <c r="B10" s="6" t="s">
        <v>36</v>
      </c>
      <c r="C10" s="84" t="s">
        <v>42</v>
      </c>
      <c r="D10" s="84"/>
      <c r="E10" s="22" t="str">
        <f>IF(C10=Menues!W2,"(Please select on option from the drop-down menu)","")</f>
        <v>(Please select on option from the drop-down menu)</v>
      </c>
      <c r="G10" s="95" t="s">
        <v>30</v>
      </c>
      <c r="H10" s="96"/>
      <c r="I10" s="97"/>
      <c r="J10" s="56">
        <v>303300</v>
      </c>
      <c r="K10" s="45">
        <f t="shared" si="0"/>
        <v>0.50972634355423674</v>
      </c>
      <c r="L10" s="23">
        <f t="shared" si="1"/>
        <v>0.92100000000000004</v>
      </c>
      <c r="M10" s="53">
        <v>292200</v>
      </c>
      <c r="N10" s="44">
        <f t="shared" si="2"/>
        <v>0.52908966461327855</v>
      </c>
      <c r="O10" s="8">
        <f t="shared" si="3"/>
        <v>0.92400000000000004</v>
      </c>
      <c r="P10" s="53">
        <v>315200</v>
      </c>
      <c r="Q10" s="44">
        <f t="shared" ca="1" si="4"/>
        <v>0.50475888324873097</v>
      </c>
      <c r="R10" s="7">
        <f t="shared" ca="1" si="5"/>
        <v>0.92</v>
      </c>
      <c r="S10" s="50">
        <v>300800</v>
      </c>
      <c r="T10" s="44">
        <f t="shared" ca="1" si="6"/>
        <v>0.52892287234042556</v>
      </c>
      <c r="U10" s="8">
        <f t="shared" ca="1" si="7"/>
        <v>0.63300000000000001</v>
      </c>
      <c r="V10" s="71">
        <v>0.16153747597693779</v>
      </c>
      <c r="W10" s="71">
        <v>0.77906563161609033</v>
      </c>
    </row>
    <row r="11" spans="1:25" ht="21.95" customHeight="1" x14ac:dyDescent="0.25">
      <c r="B11" s="6" t="s">
        <v>34</v>
      </c>
      <c r="C11" s="106" t="s">
        <v>23</v>
      </c>
      <c r="D11" s="106"/>
      <c r="E11" s="22" t="str">
        <f>IF(C11=Menues!V$2,"(Please select on option from the drop-down menu)","")</f>
        <v/>
      </c>
      <c r="G11" s="98" t="s">
        <v>31</v>
      </c>
      <c r="H11" s="99"/>
      <c r="I11" s="100"/>
      <c r="J11" s="57">
        <v>160400</v>
      </c>
      <c r="K11" s="46">
        <f t="shared" si="0"/>
        <v>0.96384039900249374</v>
      </c>
      <c r="L11" s="39">
        <f t="shared" si="1"/>
        <v>4.9569999999999999</v>
      </c>
      <c r="M11" s="54">
        <v>154600</v>
      </c>
      <c r="N11" s="48">
        <f t="shared" si="2"/>
        <v>1</v>
      </c>
      <c r="O11" s="41">
        <f t="shared" si="3"/>
        <v>1</v>
      </c>
      <c r="P11" s="54">
        <v>166600</v>
      </c>
      <c r="Q11" s="48">
        <f t="shared" ca="1" si="4"/>
        <v>0.95498199279711882</v>
      </c>
      <c r="R11" s="42">
        <f t="shared" ca="1" si="5"/>
        <v>5.9269999999999996</v>
      </c>
      <c r="S11" s="51">
        <v>159100</v>
      </c>
      <c r="T11" s="48">
        <f t="shared" ca="1" si="6"/>
        <v>1</v>
      </c>
      <c r="U11" s="41">
        <f t="shared" ca="1" si="7"/>
        <v>1</v>
      </c>
      <c r="V11" s="72">
        <v>-109.44509333333325</v>
      </c>
      <c r="W11" s="72"/>
    </row>
    <row r="12" spans="1:25" ht="21.95" customHeight="1" thickBot="1" x14ac:dyDescent="0.3">
      <c r="B12" s="6" t="s">
        <v>59</v>
      </c>
      <c r="C12" s="84" t="s">
        <v>13</v>
      </c>
      <c r="D12" s="84"/>
      <c r="E12" s="22" t="str">
        <f>IF(C12=Menues!U$2,"(Please select on option from the drop-down menu)",IF(C12=Menues!X3,"(Refer to the top table on right)","(Refer to the bottom table on right)"))</f>
        <v>(Please select on option from the drop-down menu)</v>
      </c>
      <c r="F12" s="33"/>
      <c r="G12" s="111" t="s">
        <v>32</v>
      </c>
      <c r="H12" s="112"/>
      <c r="I12" s="113"/>
      <c r="J12" s="58">
        <v>223900</v>
      </c>
      <c r="K12" s="47">
        <f t="shared" si="0"/>
        <v>0.69048682447521215</v>
      </c>
      <c r="L12" s="24">
        <f t="shared" si="1"/>
        <v>1.4690000000000001</v>
      </c>
      <c r="M12" s="55">
        <v>215800</v>
      </c>
      <c r="N12" s="49">
        <f t="shared" si="2"/>
        <v>0.71640407784986093</v>
      </c>
      <c r="O12" s="16">
        <f t="shared" si="3"/>
        <v>1.429</v>
      </c>
      <c r="P12" s="55">
        <v>232700</v>
      </c>
      <c r="Q12" s="49">
        <f t="shared" ca="1" si="4"/>
        <v>0.6837129351095832</v>
      </c>
      <c r="R12" s="15">
        <f t="shared" ca="1" si="5"/>
        <v>1.4790000000000001</v>
      </c>
      <c r="S12" s="52">
        <v>222100</v>
      </c>
      <c r="T12" s="49">
        <f t="shared" ca="1" si="6"/>
        <v>0.71634398919405673</v>
      </c>
      <c r="U12" s="16">
        <f t="shared" ca="1" si="7"/>
        <v>0.73699999999999999</v>
      </c>
      <c r="V12" s="73">
        <v>-1.5144470108695658</v>
      </c>
      <c r="W12" s="73">
        <v>0.92717936507936516</v>
      </c>
    </row>
    <row r="13" spans="1:25" ht="21.95" customHeight="1" thickBot="1" x14ac:dyDescent="0.3">
      <c r="B13" s="6" t="str">
        <f>IF(C11=Menues!V2,"",C11)&amp;" Development-Type Multiplier:"</f>
        <v>2016-2017 Development-Type Multiplier:</v>
      </c>
      <c r="C13" s="85" t="str">
        <f>IF(OR(C15="Complete Above",C15="Invalid Selection(s)"),C15,VLOOKUP("RehabilitationGardenRehabNo",DataFields,IF(C11=Menues!V3,8,10))/VLOOKUP(C7&amp;C8&amp;C9&amp;C12,DataFields,11))</f>
        <v>Complete Above</v>
      </c>
      <c r="D13" s="86"/>
      <c r="E13" s="22" t="str">
        <f>IF(C15="Invalid Selection(s)","(Combination of Dev Cat, Dev Type &amp; Constr Type not valid)",IF(C15="Complete Above","(Please complete Dev Cat, Dev Type, Constr Type and/or TDC PU Geo)","( "&amp;TEXT(VLOOKUP("RehabilitationGardenRehabNo",DataFields,IF(C11=Menues!V3,8,10)),"$#,##0")&amp;" / "&amp;TEXT(VLOOKUP(C7&amp;C8&amp;C9&amp;C12,DataFields,11),"$#,##0")&amp;" = "&amp;TEXT(VLOOKUP("RehabilitationGardenRehabNo",DataFields,IF(C11=Menues!V3,8,10))/VLOOKUP(C7&amp;C8&amp;C9&amp;C12,DataFields,11),"0.0000")&amp;", not to be rounded yet)"))</f>
        <v>(Please complete Dev Cat, Dev Type, Constr Type and/or TDC PU Geo)</v>
      </c>
      <c r="F13" s="22"/>
      <c r="G13" s="5"/>
      <c r="H13" s="5"/>
      <c r="I13" s="5"/>
      <c r="J13" s="5"/>
      <c r="K13" s="5"/>
      <c r="L13" s="37"/>
      <c r="M13" s="9"/>
      <c r="N13" s="9"/>
      <c r="O13" s="9"/>
      <c r="P13" s="9"/>
      <c r="Q13" s="9"/>
      <c r="R13" s="9"/>
      <c r="S13" s="9"/>
      <c r="T13" s="9"/>
      <c r="U13" s="9"/>
      <c r="V13" s="5"/>
      <c r="W13" s="5"/>
      <c r="X13" s="5"/>
      <c r="Y13" s="5"/>
    </row>
    <row r="14" spans="1:25" ht="21.95" customHeight="1" x14ac:dyDescent="0.25">
      <c r="B14" s="6" t="s">
        <v>68</v>
      </c>
      <c r="C14" s="107" t="str">
        <f>IF(OR(C15="Complete Above",C15="Invalid Selection(s)"),C15,VLOOKUP(C7&amp;C8&amp;C9&amp;C12,DataFields,12))</f>
        <v>Complete Above</v>
      </c>
      <c r="D14" s="107"/>
      <c r="E14" s="22" t="str">
        <f>IF(C15="Invalid Selection(s)","(Combination of Dev Cat, Dev Type &amp; Constr Type not valid)",IF(C15="Complete Above","(Please complete Dev Cat, Dev Type, Constr Type and/or TDC PU Geo)","( "&amp;IF(C7=Menues!S3,"NC "&amp;IF(OR(C8=Menues!T3,C8=Menues!T4),C8&amp;IF(OR(C9=Menues!U3,C9=Menues!U4),"-"&amp;C9,IF(C8=Menues!T5,C8,"-NA")),IF(C8=Menues!T5,C8,"")),IF(C7=Menues!S4,IF(C8=Menues!T3,"Garden - Rehab","Non-Garden - Rehab"),""))&amp;" = "&amp;TEXT(VLOOKUP(C7&amp;C8&amp;C9&amp;C12,DataFields,12),"0%")&amp;" )"))</f>
        <v>(Please complete Dev Cat, Dev Type, Constr Type and/or TDC PU Geo)</v>
      </c>
      <c r="F14" s="35"/>
      <c r="G14" s="114" t="s">
        <v>63</v>
      </c>
      <c r="H14" s="115"/>
      <c r="I14" s="116"/>
      <c r="J14" s="109" t="s">
        <v>35</v>
      </c>
      <c r="K14" s="109" t="s">
        <v>54</v>
      </c>
      <c r="L14" s="110" t="s">
        <v>53</v>
      </c>
      <c r="M14" s="123" t="s">
        <v>35</v>
      </c>
      <c r="N14" s="109" t="s">
        <v>54</v>
      </c>
      <c r="O14" s="131" t="s">
        <v>53</v>
      </c>
      <c r="P14" s="132" t="s">
        <v>35</v>
      </c>
      <c r="Q14" s="109" t="s">
        <v>54</v>
      </c>
      <c r="R14" s="109" t="s">
        <v>53</v>
      </c>
      <c r="S14" s="123" t="s">
        <v>35</v>
      </c>
      <c r="T14" s="109" t="s">
        <v>54</v>
      </c>
      <c r="U14" s="131" t="s">
        <v>53</v>
      </c>
      <c r="V14" s="134" t="s">
        <v>72</v>
      </c>
      <c r="W14" s="134" t="s">
        <v>73</v>
      </c>
      <c r="X14" s="5"/>
      <c r="Y14" s="5"/>
    </row>
    <row r="15" spans="1:25" ht="20.100000000000001" customHeight="1" x14ac:dyDescent="0.25">
      <c r="B15" s="6" t="str">
        <f>IF(C11=Menues!V2,"",C11)&amp;" Leveraging Factor:"</f>
        <v>2016-2017 Leveraging Factor:</v>
      </c>
      <c r="C15" s="108" t="str">
        <f>IF(OR(C7=Menues!S2,C8=Menues!T2,C9=Menues!U2,C10=Menues!W2,C12=Menues!X2),"Complete Above",VLOOKUP(C7&amp;C8&amp;C9&amp;C12,DataFields,6))</f>
        <v>Complete Above</v>
      </c>
      <c r="D15" s="108"/>
      <c r="E15" s="34" t="str">
        <f>IF(C15="Invalid Selection(s)","(Combination of Dev Cat, Dev Type &amp; Constr Type not valid)",IF(C15="Complete Above","(Please complete Dev Cat, Dev Type, Constr Type and/or TDC PU Geo)","[ ( 1 - "&amp;TEXT(VLOOKUP(C7&amp;C8&amp;C9&amp;C12,DataFields,12),"0%")&amp;"  x  ( 1 - "&amp;TEXT(VLOOKUP("RehabilitationGardenRehabNo",DataFields,IF(C11=Menues!V3,8,10)),"$#,##0")&amp;" / "&amp;TEXT(VLOOKUP(C7&amp;C8&amp;C9&amp;C12,DataFields,11),"$#,##0")&amp;" ) ) = "&amp;TEXT(C15,"0.000")&amp;", rounded to "&amp;TEXT(V25,"0")&amp;" decimals ]"))</f>
        <v>(Please complete Dev Cat, Dev Type, Constr Type and/or TDC PU Geo)</v>
      </c>
      <c r="G15" s="117"/>
      <c r="H15" s="118"/>
      <c r="I15" s="119"/>
      <c r="J15" s="81"/>
      <c r="K15" s="81"/>
      <c r="L15" s="82"/>
      <c r="M15" s="124"/>
      <c r="N15" s="81"/>
      <c r="O15" s="83"/>
      <c r="P15" s="78"/>
      <c r="Q15" s="81"/>
      <c r="R15" s="81"/>
      <c r="S15" s="124"/>
      <c r="T15" s="81"/>
      <c r="U15" s="83"/>
      <c r="V15" s="135"/>
      <c r="W15" s="135"/>
    </row>
    <row r="16" spans="1:25" ht="21.95" customHeight="1" x14ac:dyDescent="0.25">
      <c r="B16" s="6" t="s">
        <v>69</v>
      </c>
      <c r="C16" s="90">
        <v>0</v>
      </c>
      <c r="D16" s="90"/>
      <c r="E16" s="32" t="str">
        <f ca="1">IF(OR(C16=0,CELL("type",C16)="b"),"(Enter Total Number of Units)","")</f>
        <v>(Enter Total Number of Units)</v>
      </c>
      <c r="G16" s="120" t="s">
        <v>45</v>
      </c>
      <c r="H16" s="121"/>
      <c r="I16" s="122"/>
      <c r="J16" s="81"/>
      <c r="K16" s="81"/>
      <c r="L16" s="82"/>
      <c r="M16" s="124"/>
      <c r="N16" s="81"/>
      <c r="O16" s="83"/>
      <c r="P16" s="78"/>
      <c r="Q16" s="81"/>
      <c r="R16" s="81"/>
      <c r="S16" s="124"/>
      <c r="T16" s="81"/>
      <c r="U16" s="83"/>
      <c r="V16" s="136"/>
      <c r="W16" s="136"/>
      <c r="X16" s="21"/>
      <c r="Y16" s="21"/>
    </row>
    <row r="17" spans="2:25" ht="21.95" customHeight="1" x14ac:dyDescent="0.25">
      <c r="B17" s="6" t="s">
        <v>70</v>
      </c>
      <c r="C17" s="105">
        <v>1</v>
      </c>
      <c r="D17" s="105"/>
      <c r="E17" s="32" t="str">
        <f ca="1">IF(OR(C17=0,CELL("type",C17)="b"),"(Enter Total SAIL Set-Aside Percentage)","")</f>
        <v/>
      </c>
      <c r="G17" s="95" t="s">
        <v>26</v>
      </c>
      <c r="H17" s="96"/>
      <c r="I17" s="96"/>
      <c r="J17" s="30">
        <v>194900</v>
      </c>
      <c r="K17" s="45">
        <f t="shared" ref="K17:K23" si="8">IF($J17=0,0,$M$11/$J17)</f>
        <v>0.79322729604925601</v>
      </c>
      <c r="L17" s="61">
        <f t="shared" ref="L17:L23" si="9">IF($J17=0,0,ROUND(1-$V17*(1-$M$11/$J17),3))</f>
        <v>3.2000000000000001E-2</v>
      </c>
      <c r="M17" s="25">
        <v>188000</v>
      </c>
      <c r="N17" s="44">
        <f t="shared" ref="N17:N23" si="10">IF($M17=0,0,$M$11/$M17)</f>
        <v>0.82234042553191489</v>
      </c>
      <c r="O17" s="8">
        <f t="shared" ref="O17:O23" si="11">IF($M17=0,0,ROUND(1-$V17*(1-$M$11/$M17),3))</f>
        <v>0.16800000000000001</v>
      </c>
      <c r="P17" s="30">
        <v>202300</v>
      </c>
      <c r="Q17" s="44">
        <f t="shared" ref="Q17:Q23" ca="1" si="12">IF(OR($P17=0,CELL("Type",$P17)="l"),0,$S$11/$P17)</f>
        <v>0.7864557587740979</v>
      </c>
      <c r="R17" s="60">
        <f t="shared" ref="R17:R23" ca="1" si="13">IF(OR($P17=0,CELL("Type",$P17)="l"),0,ROUND(1-$V17*(1-$S$11/$P17),3))</f>
        <v>0</v>
      </c>
      <c r="S17" s="25">
        <v>193300</v>
      </c>
      <c r="T17" s="44">
        <f t="shared" ref="T17:T23" ca="1" si="14">IF(OR($S17=0,CELL("Type",$S17)="l"),0,$S$11/$S17)</f>
        <v>0.82307294361096739</v>
      </c>
      <c r="U17" s="8">
        <f t="shared" ref="U17:U23" ca="1" si="15">IF(OR($S17=0,CELL("Type",$S17)="l"),0,ROUND(1-$W17*(1-$S$11/$S17),3))</f>
        <v>0.77500000000000002</v>
      </c>
      <c r="V17" s="70">
        <v>4.6828703703703711</v>
      </c>
      <c r="W17" s="71">
        <v>1.2717105263157893</v>
      </c>
      <c r="X17" s="21"/>
      <c r="Y17" s="21"/>
    </row>
    <row r="18" spans="2:25" ht="21.95" customHeight="1" x14ac:dyDescent="0.25">
      <c r="B18" s="6" t="s">
        <v>71</v>
      </c>
      <c r="C18" s="91">
        <f>ROUNDUP(C16*C17,0)</f>
        <v>0</v>
      </c>
      <c r="D18" s="91"/>
      <c r="G18" s="98" t="s">
        <v>27</v>
      </c>
      <c r="H18" s="99"/>
      <c r="I18" s="99"/>
      <c r="J18" s="38">
        <v>232300</v>
      </c>
      <c r="K18" s="46">
        <f t="shared" si="8"/>
        <v>0.66551872578562199</v>
      </c>
      <c r="L18" s="39">
        <f t="shared" si="9"/>
        <v>1.2929999999999999</v>
      </c>
      <c r="M18" s="40">
        <v>224000</v>
      </c>
      <c r="N18" s="48">
        <f t="shared" si="10"/>
        <v>0.69017857142857142</v>
      </c>
      <c r="O18" s="41">
        <f t="shared" si="11"/>
        <v>1.2709999999999999</v>
      </c>
      <c r="P18" s="38">
        <v>241200</v>
      </c>
      <c r="Q18" s="48">
        <f t="shared" ca="1" si="12"/>
        <v>0.6596185737976783</v>
      </c>
      <c r="R18" s="42">
        <f t="shared" ca="1" si="13"/>
        <v>1.298</v>
      </c>
      <c r="S18" s="40">
        <v>230400</v>
      </c>
      <c r="T18" s="48">
        <f t="shared" ca="1" si="14"/>
        <v>0.69053819444444442</v>
      </c>
      <c r="U18" s="41">
        <f t="shared" ca="1" si="15"/>
        <v>0.70199999999999996</v>
      </c>
      <c r="V18" s="72">
        <v>-0.87548842874543253</v>
      </c>
      <c r="W18" s="72">
        <v>0.96296213183730717</v>
      </c>
    </row>
    <row r="19" spans="2:25" ht="21.95" customHeight="1" x14ac:dyDescent="0.25">
      <c r="B19" s="6" t="str">
        <f>"Leveraging Level "&amp;IF($B$20=0,"Percentage","Per Set-Aside Unit")&amp;":"</f>
        <v>Leveraging Level Percentage:</v>
      </c>
      <c r="C19" s="104">
        <f>ROUND(IF(ISERR(C5*C15/C6/C18),0,C5*C15/C6/IF($B$20=0,1,C18)),4)</f>
        <v>0</v>
      </c>
      <c r="D19" s="104"/>
      <c r="E19" s="89" t="str">
        <f>"[ ( "&amp;TEXT(C5,"$#,##0")&amp;" x "&amp;TEXT(IF(OR(C15="Not Available",C15="Complete Above"),0,C15),"0.000")&amp;" / "&amp;TEXT(C6,"$#,##0")&amp;" ) / "&amp;IF($B$20=0,TEXT(C17,"0%"),TEXT(C18,"0"))&amp;" = "&amp;TEXT(C19,"0.00%")&amp;", rounded to 2 percentage decimal places ]"</f>
        <v>[ ( $0 x 0.000 / $0 ) / 100% = 0.00%, rounded to 2 percentage decimal places ]</v>
      </c>
      <c r="G19" s="95" t="s">
        <v>28</v>
      </c>
      <c r="H19" s="96"/>
      <c r="I19" s="96"/>
      <c r="J19" s="30">
        <v>232300</v>
      </c>
      <c r="K19" s="45">
        <f t="shared" si="8"/>
        <v>0.66551872578562199</v>
      </c>
      <c r="L19" s="61">
        <f t="shared" si="9"/>
        <v>1.7000000000000001E-2</v>
      </c>
      <c r="M19" s="25">
        <v>224000</v>
      </c>
      <c r="N19" s="44">
        <f t="shared" si="10"/>
        <v>0.69017857142857142</v>
      </c>
      <c r="O19" s="8">
        <f t="shared" si="11"/>
        <v>0.09</v>
      </c>
      <c r="P19" s="30">
        <v>241200</v>
      </c>
      <c r="Q19" s="44">
        <f t="shared" ca="1" si="12"/>
        <v>0.6596185737976783</v>
      </c>
      <c r="R19" s="60">
        <f t="shared" ca="1" si="13"/>
        <v>0</v>
      </c>
      <c r="S19" s="25">
        <v>230400</v>
      </c>
      <c r="T19" s="44">
        <f t="shared" ca="1" si="14"/>
        <v>0.69053819444444442</v>
      </c>
      <c r="U19" s="8">
        <f t="shared" ca="1" si="15"/>
        <v>0.70199999999999996</v>
      </c>
      <c r="V19" s="70">
        <v>2.9378806333739345</v>
      </c>
      <c r="W19" s="71">
        <v>0.96296213183730717</v>
      </c>
    </row>
    <row r="20" spans="2:25" ht="21.95" customHeight="1" x14ac:dyDescent="0.25">
      <c r="B20" s="69">
        <v>0</v>
      </c>
      <c r="D20" s="68"/>
      <c r="E20" s="89"/>
      <c r="G20" s="98" t="s">
        <v>29</v>
      </c>
      <c r="H20" s="99"/>
      <c r="I20" s="99"/>
      <c r="J20" s="38">
        <v>255000</v>
      </c>
      <c r="K20" s="46">
        <f t="shared" si="8"/>
        <v>0.60627450980392161</v>
      </c>
      <c r="L20" s="39">
        <f t="shared" si="9"/>
        <v>1.123</v>
      </c>
      <c r="M20" s="40">
        <v>245900</v>
      </c>
      <c r="N20" s="48">
        <f t="shared" si="10"/>
        <v>0.62871085807238714</v>
      </c>
      <c r="O20" s="41">
        <f t="shared" si="11"/>
        <v>1.1160000000000001</v>
      </c>
      <c r="P20" s="38">
        <v>264800</v>
      </c>
      <c r="Q20" s="48">
        <f t="shared" ca="1" si="12"/>
        <v>0.60083081570996977</v>
      </c>
      <c r="R20" s="42">
        <f t="shared" ca="1" si="13"/>
        <v>1.125</v>
      </c>
      <c r="S20" s="40">
        <v>253000</v>
      </c>
      <c r="T20" s="48">
        <f t="shared" ca="1" si="14"/>
        <v>0.6288537549407115</v>
      </c>
      <c r="U20" s="41">
        <f t="shared" ca="1" si="15"/>
        <v>0.66300000000000003</v>
      </c>
      <c r="V20" s="72">
        <v>-0.31315042573320717</v>
      </c>
      <c r="W20" s="72">
        <v>0.90799787007454735</v>
      </c>
    </row>
    <row r="21" spans="2:25" ht="21.95" customHeight="1" x14ac:dyDescent="0.25">
      <c r="B21" s="103" t="s">
        <v>66</v>
      </c>
      <c r="C21" s="89" t="str">
        <f>" SAIL Request Amount  x  ( 1 -  Development-Type Impact Ratio  x  ( 1 - Garden Rehab TDC PU Limitation for Non-Miami-Dade or Broward Counties / TDC PU Limitation for Proposed Development ) ) / Total Development Cost / "&amp;IF($B$20=0,"Total SAIL Set-Aside Percentage","Total # of SAIL Set-Aside Units")&amp;" = "&amp;IF(C15="Complete Above","(Please complete Dev Cat, Dev Type, Constr Type and/or TDC PU Geo)",TEXT(C5,"$#,##0")&amp;" x ( 1 - "&amp;TEXT(VLOOKUP(C7&amp;C8&amp;C9&amp;C12,DataFields,12),"0%")&amp;"  x  ( 1 - "&amp;TEXT(VLOOKUP("RehabilitationGardenRehabNo",DataFields,IF(C11=Menues!V3,8,10)),"$#,##0")&amp;" / "&amp;TEXT(VLOOKUP(C7&amp;C8&amp;C9&amp;C12,DataFields,11),"$#,##0")&amp;" ) )‡ / "&amp;TEXT(C6,"$#,##0")&amp;" / "&amp;IF($B$20=0,TEXT(C17,"0%"),TEXT(C18,"0"))&amp;" = "&amp;IF($B$20=0,TEXT(C19,"0.00%"),TEXT(C19,"$#,##0.00"))&amp;" ]")</f>
        <v xml:space="preserve"> SAIL Request Amount  x  ( 1 -  Development-Type Impact Ratio  x  ( 1 - Garden Rehab TDC PU Limitation for Non-Miami-Dade or Broward Counties / TDC PU Limitation for Proposed Development ) ) / Total Development Cost / Total SAIL Set-Aside Percentage = (Please complete Dev Cat, Dev Type, Constr Type and/or TDC PU Geo)</v>
      </c>
      <c r="D21" s="89"/>
      <c r="E21" s="89"/>
      <c r="F21" s="36"/>
      <c r="G21" s="95" t="s">
        <v>30</v>
      </c>
      <c r="H21" s="96"/>
      <c r="I21" s="96"/>
      <c r="J21" s="30">
        <v>308300</v>
      </c>
      <c r="K21" s="45">
        <f t="shared" si="8"/>
        <v>0.50145961725591959</v>
      </c>
      <c r="L21" s="23">
        <f t="shared" si="9"/>
        <v>0.90700000000000003</v>
      </c>
      <c r="M21" s="25">
        <v>297200</v>
      </c>
      <c r="N21" s="44">
        <f t="shared" si="10"/>
        <v>0.52018842530282638</v>
      </c>
      <c r="O21" s="8">
        <f t="shared" si="11"/>
        <v>0.91</v>
      </c>
      <c r="P21" s="30">
        <v>320200</v>
      </c>
      <c r="Q21" s="44">
        <f t="shared" ca="1" si="12"/>
        <v>0.49687695190505932</v>
      </c>
      <c r="R21" s="7">
        <f t="shared" ca="1" si="13"/>
        <v>0.90600000000000003</v>
      </c>
      <c r="S21" s="25">
        <v>305800</v>
      </c>
      <c r="T21" s="44">
        <f t="shared" ca="1" si="14"/>
        <v>0.52027468933943755</v>
      </c>
      <c r="U21" s="8">
        <f t="shared" ca="1" si="15"/>
        <v>0.63200000000000001</v>
      </c>
      <c r="V21" s="71">
        <v>0.18683302296710111</v>
      </c>
      <c r="W21" s="71">
        <v>0.76710565780504425</v>
      </c>
    </row>
    <row r="22" spans="2:25" ht="21.95" customHeight="1" x14ac:dyDescent="0.25">
      <c r="B22" s="103"/>
      <c r="C22" s="89"/>
      <c r="D22" s="89"/>
      <c r="E22" s="89"/>
      <c r="F22" s="36"/>
      <c r="G22" s="98" t="s">
        <v>31</v>
      </c>
      <c r="H22" s="99"/>
      <c r="I22" s="99"/>
      <c r="J22" s="38">
        <v>165400</v>
      </c>
      <c r="K22" s="46">
        <f t="shared" si="8"/>
        <v>0.93470374848851268</v>
      </c>
      <c r="L22" s="39">
        <f t="shared" si="9"/>
        <v>4.1139999999999999</v>
      </c>
      <c r="M22" s="40">
        <v>159600</v>
      </c>
      <c r="N22" s="48">
        <f t="shared" si="10"/>
        <v>0.96867167919799502</v>
      </c>
      <c r="O22" s="41">
        <f t="shared" si="11"/>
        <v>2.4940000000000002</v>
      </c>
      <c r="P22" s="38">
        <v>171600</v>
      </c>
      <c r="Q22" s="48">
        <f t="shared" ca="1" si="12"/>
        <v>0.92715617715617715</v>
      </c>
      <c r="R22" s="42">
        <f t="shared" ca="1" si="13"/>
        <v>4.4740000000000002</v>
      </c>
      <c r="S22" s="40">
        <v>164100</v>
      </c>
      <c r="T22" s="48">
        <f t="shared" ca="1" si="14"/>
        <v>0.96953077391834253</v>
      </c>
      <c r="U22" s="41">
        <f t="shared" ca="1" si="15"/>
        <v>0.96699999999999997</v>
      </c>
      <c r="V22" s="72">
        <v>-47.691071999999998</v>
      </c>
      <c r="W22" s="72">
        <v>1.0830600000000028</v>
      </c>
    </row>
    <row r="23" spans="2:25" ht="21.95" customHeight="1" thickBot="1" x14ac:dyDescent="0.3">
      <c r="B23" s="103"/>
      <c r="C23" s="89"/>
      <c r="D23" s="89"/>
      <c r="E23" s="89"/>
      <c r="F23" s="36"/>
      <c r="G23" s="111" t="s">
        <v>32</v>
      </c>
      <c r="H23" s="112"/>
      <c r="I23" s="112"/>
      <c r="J23" s="31">
        <v>228900</v>
      </c>
      <c r="K23" s="47">
        <f t="shared" si="8"/>
        <v>0.6754041065967672</v>
      </c>
      <c r="L23" s="24">
        <f t="shared" si="9"/>
        <v>1.4079999999999999</v>
      </c>
      <c r="M23" s="26">
        <v>220800</v>
      </c>
      <c r="N23" s="49">
        <f t="shared" si="10"/>
        <v>0.7001811594202898</v>
      </c>
      <c r="O23" s="16">
        <f t="shared" si="11"/>
        <v>1.377</v>
      </c>
      <c r="P23" s="31">
        <v>237700</v>
      </c>
      <c r="Q23" s="49">
        <f t="shared" ca="1" si="12"/>
        <v>0.66933108960875054</v>
      </c>
      <c r="R23" s="15">
        <f t="shared" ca="1" si="13"/>
        <v>1.4159999999999999</v>
      </c>
      <c r="S23" s="26">
        <v>227100</v>
      </c>
      <c r="T23" s="49">
        <f t="shared" ca="1" si="14"/>
        <v>0.70057243505063849</v>
      </c>
      <c r="U23" s="16">
        <f t="shared" ca="1" si="15"/>
        <v>0.71599999999999997</v>
      </c>
      <c r="V23" s="73">
        <v>-1.2580559796437658</v>
      </c>
      <c r="W23" s="73">
        <v>0.94847647058823537</v>
      </c>
    </row>
    <row r="24" spans="2:25" ht="21.95" customHeight="1" x14ac:dyDescent="0.25">
      <c r="B24" s="103"/>
      <c r="C24" s="89"/>
      <c r="D24" s="89"/>
      <c r="E24" s="89"/>
      <c r="F24" s="36"/>
      <c r="P24" s="43"/>
      <c r="Q24" s="5"/>
    </row>
    <row r="25" spans="2:25" ht="21.95" customHeight="1" x14ac:dyDescent="0.25">
      <c r="C25" s="74" t="s">
        <v>67</v>
      </c>
      <c r="D25" s="74"/>
      <c r="E25" s="74"/>
    </row>
    <row r="26" spans="2:25" x14ac:dyDescent="0.25">
      <c r="C26" s="74"/>
      <c r="D26" s="74"/>
      <c r="E26" s="74"/>
    </row>
    <row r="27" spans="2:25" x14ac:dyDescent="0.25">
      <c r="H27" s="59"/>
    </row>
    <row r="28" spans="2:25" x14ac:dyDescent="0.25">
      <c r="H28" s="59"/>
    </row>
  </sheetData>
  <sheetProtection algorithmName="SHA-512" hashValue="dacQ2nHQvFkuMGrhUO/WEe5vZ18fRXqmQh61lTOZJJJ3is2Izbuphuapk4z1zXwiWAwvqISFV5PZhWdfB9HVFg==" saltValue="fW2txjVK44XURdjAma71RQ==" spinCount="100000" sheet="1" formatCells="0" formatRows="0"/>
  <sortState ref="A35:O57">
    <sortCondition ref="A35:A57"/>
  </sortState>
  <mergeCells count="70">
    <mergeCell ref="W14:W16"/>
    <mergeCell ref="V2:V5"/>
    <mergeCell ref="W2:W5"/>
    <mergeCell ref="O14:O16"/>
    <mergeCell ref="V14:V16"/>
    <mergeCell ref="S2:U2"/>
    <mergeCell ref="M3:M5"/>
    <mergeCell ref="S3:S5"/>
    <mergeCell ref="T3:T5"/>
    <mergeCell ref="U3:U5"/>
    <mergeCell ref="J14:J16"/>
    <mergeCell ref="S14:S16"/>
    <mergeCell ref="T14:T16"/>
    <mergeCell ref="U14:U16"/>
    <mergeCell ref="P14:P16"/>
    <mergeCell ref="Q14:Q16"/>
    <mergeCell ref="R14:R16"/>
    <mergeCell ref="G21:I21"/>
    <mergeCell ref="G22:I22"/>
    <mergeCell ref="G23:I23"/>
    <mergeCell ref="C21:E24"/>
    <mergeCell ref="N14:N16"/>
    <mergeCell ref="G19:I19"/>
    <mergeCell ref="G17:I17"/>
    <mergeCell ref="G14:I15"/>
    <mergeCell ref="G16:I16"/>
    <mergeCell ref="G20:I20"/>
    <mergeCell ref="M14:M16"/>
    <mergeCell ref="J2:L2"/>
    <mergeCell ref="J3:J5"/>
    <mergeCell ref="B21:B24"/>
    <mergeCell ref="C12:D12"/>
    <mergeCell ref="C19:D19"/>
    <mergeCell ref="C17:D17"/>
    <mergeCell ref="C11:D11"/>
    <mergeCell ref="C14:D14"/>
    <mergeCell ref="C10:D10"/>
    <mergeCell ref="C15:D15"/>
    <mergeCell ref="K14:K16"/>
    <mergeCell ref="L14:L16"/>
    <mergeCell ref="G18:I18"/>
    <mergeCell ref="G10:I10"/>
    <mergeCell ref="G11:I11"/>
    <mergeCell ref="G12:I12"/>
    <mergeCell ref="E19:E20"/>
    <mergeCell ref="C16:D16"/>
    <mergeCell ref="C18:D18"/>
    <mergeCell ref="G2:I2"/>
    <mergeCell ref="G6:I6"/>
    <mergeCell ref="G7:I7"/>
    <mergeCell ref="G5:I5"/>
    <mergeCell ref="G3:I4"/>
    <mergeCell ref="G8:I8"/>
    <mergeCell ref="G9:I9"/>
    <mergeCell ref="C25:E26"/>
    <mergeCell ref="P2:R2"/>
    <mergeCell ref="P3:P5"/>
    <mergeCell ref="M2:O2"/>
    <mergeCell ref="R3:R5"/>
    <mergeCell ref="K3:K5"/>
    <mergeCell ref="L3:L5"/>
    <mergeCell ref="N3:N5"/>
    <mergeCell ref="O3:O5"/>
    <mergeCell ref="Q3:Q5"/>
    <mergeCell ref="C9:D9"/>
    <mergeCell ref="C13:D13"/>
    <mergeCell ref="C5:D5"/>
    <mergeCell ref="C6:D6"/>
    <mergeCell ref="C7:D7"/>
    <mergeCell ref="C8:D8"/>
  </mergeCells>
  <conditionalFormatting sqref="G3:I4">
    <cfRule type="expression" dxfId="95" priority="84">
      <formula>C$12="No"</formula>
    </cfRule>
  </conditionalFormatting>
  <conditionalFormatting sqref="G14:I15">
    <cfRule type="expression" dxfId="94" priority="83">
      <formula>C$12="Yes"</formula>
    </cfRule>
  </conditionalFormatting>
  <conditionalFormatting sqref="S11">
    <cfRule type="expression" dxfId="93" priority="24">
      <formula>AND(OR(C15="Complete Above",C15="Invalid Selection(s)")=FALSE,$C$11="2016-2017")</formula>
    </cfRule>
  </conditionalFormatting>
  <conditionalFormatting sqref="M11">
    <cfRule type="expression" dxfId="92" priority="23">
      <formula>AND(OR(C15="Complete Above",C15="Invalid Selection(s)")=FALSE,$C$11="2015-2016")</formula>
    </cfRule>
  </conditionalFormatting>
  <conditionalFormatting sqref="C19:D19">
    <cfRule type="expression" dxfId="91" priority="1">
      <formula>$B$20=0</formula>
    </cfRule>
  </conditionalFormatting>
  <printOptions horizontalCentered="1"/>
  <pageMargins left="0.25" right="0.25" top="1" bottom="0.25" header="0.3" footer="0.3"/>
  <pageSetup scale="71" orientation="landscape" r:id="rId1"/>
  <colBreaks count="1" manualBreakCount="1">
    <brk id="6" min="1" max="22" man="1"/>
  </colBreaks>
  <extLst>
    <ext xmlns:x14="http://schemas.microsoft.com/office/spreadsheetml/2009/9/main" uri="{78C0D931-6437-407d-A8EE-F0AAD7539E65}">
      <x14:conditionalFormattings>
        <x14:conditionalFormatting xmlns:xm="http://schemas.microsoft.com/office/excel/2006/main">
          <x14:cfRule type="expression" priority="353" id="{85D4CBA1-1791-4B4E-A649-94E8702EA393}">
            <xm:f>AND($C$12=Menues!$X$3,$C$7=Menues!$S$3,$C$8=Menues!$T$3,$C$9=Menues!$U$4)</xm:f>
            <x14:dxf>
              <font>
                <b/>
                <i val="0"/>
              </font>
              <fill>
                <patternFill>
                  <bgColor rgb="FFC9FFC9"/>
                </patternFill>
              </fill>
            </x14:dxf>
          </x14:cfRule>
          <xm:sqref>G6 V6</xm:sqref>
        </x14:conditionalFormatting>
        <x14:conditionalFormatting xmlns:xm="http://schemas.microsoft.com/office/excel/2006/main">
          <x14:cfRule type="expression" priority="354" id="{E9885D41-2A3C-442B-BE08-B3498753E9A3}">
            <xm:f>AND($C$12=Menues!$X$3,$C$7=Menues!$S$3,$C$8=Menues!$T$3,$C$9=Menues!$U$3)</xm:f>
            <x14:dxf>
              <font>
                <b/>
                <i val="0"/>
              </font>
              <fill>
                <patternFill>
                  <bgColor rgb="FFC9FFC9"/>
                </patternFill>
              </fill>
            </x14:dxf>
          </x14:cfRule>
          <xm:sqref>G7 V7</xm:sqref>
        </x14:conditionalFormatting>
        <x14:conditionalFormatting xmlns:xm="http://schemas.microsoft.com/office/excel/2006/main">
          <x14:cfRule type="expression" priority="355" id="{F32A3048-538D-408E-8C47-BE4555481B1D}">
            <xm:f>AND($C$12=Menues!$X$3,$C$7=Menues!$S$3,$C$8=Menues!$T$4,$C$9=Menues!$U$4)</xm:f>
            <x14:dxf>
              <font>
                <b/>
                <i val="0"/>
              </font>
              <fill>
                <patternFill>
                  <bgColor rgb="FFC9FFC9"/>
                </patternFill>
              </fill>
            </x14:dxf>
          </x14:cfRule>
          <xm:sqref>G8 V8</xm:sqref>
        </x14:conditionalFormatting>
        <x14:conditionalFormatting xmlns:xm="http://schemas.microsoft.com/office/excel/2006/main">
          <x14:cfRule type="expression" priority="356" id="{31443F53-1EF4-467F-8972-70C1F0CF88B6}">
            <xm:f>AND($C$12=Menues!$X$3,$C$7=Menues!$S$3,$C$8=Menues!$T$4,$C$9=Menues!$U$3)</xm:f>
            <x14:dxf>
              <font>
                <b/>
                <i val="0"/>
              </font>
              <fill>
                <patternFill>
                  <bgColor rgb="FFC9FFC9"/>
                </patternFill>
              </fill>
            </x14:dxf>
          </x14:cfRule>
          <xm:sqref>G9 V9</xm:sqref>
        </x14:conditionalFormatting>
        <x14:conditionalFormatting xmlns:xm="http://schemas.microsoft.com/office/excel/2006/main">
          <x14:cfRule type="expression" priority="357" id="{A72A5C9E-4283-4984-BBD9-E1A8EAF39F6E}">
            <xm:f>AND($C$12=Menues!$X$3,$C$7=Menues!$S$3,$C$8=Menues!$T$5,$C$9=Menues!$U$3)</xm:f>
            <x14:dxf>
              <font>
                <b/>
                <i val="0"/>
              </font>
              <fill>
                <patternFill>
                  <bgColor rgb="FFC9FFC9"/>
                </patternFill>
              </fill>
            </x14:dxf>
          </x14:cfRule>
          <xm:sqref>G10 V10</xm:sqref>
        </x14:conditionalFormatting>
        <x14:conditionalFormatting xmlns:xm="http://schemas.microsoft.com/office/excel/2006/main">
          <x14:cfRule type="expression" priority="358" id="{14A75498-A9B2-4F89-9238-66DE6D33D513}">
            <xm:f>AND($C$12=Menues!$X$3,$C$7=Menues!$S$4,$C$8=Menues!$T$3,$C$9&lt;&gt;Menues!$U$2)</xm:f>
            <x14:dxf>
              <font>
                <b/>
                <i val="0"/>
              </font>
              <fill>
                <patternFill>
                  <bgColor rgb="FFC9FFC9"/>
                </patternFill>
              </fill>
            </x14:dxf>
          </x14:cfRule>
          <xm:sqref>G11 V11</xm:sqref>
        </x14:conditionalFormatting>
        <x14:conditionalFormatting xmlns:xm="http://schemas.microsoft.com/office/excel/2006/main">
          <x14:cfRule type="expression" priority="359" id="{2CCD075B-06AA-4208-8C8B-A67908E46DBC}">
            <xm:f>AND($C$12=Menues!$X$3,$C$7=Menues!$S$4,$C$8&lt;&gt;Menues!$T$3,$C$8&lt;&gt;Menues!$T$2,$C$9&lt;&gt;Menues!$U$2)</xm:f>
            <x14:dxf>
              <font>
                <b/>
                <i val="0"/>
              </font>
              <fill>
                <patternFill>
                  <bgColor rgb="FFC9FFC9"/>
                </patternFill>
              </fill>
            </x14:dxf>
          </x14:cfRule>
          <xm:sqref>G12 V12</xm:sqref>
        </x14:conditionalFormatting>
        <x14:conditionalFormatting xmlns:xm="http://schemas.microsoft.com/office/excel/2006/main">
          <x14:cfRule type="expression" priority="121" id="{8CCF1394-A6BD-4EB1-96FD-1F61FE1785E4}">
            <xm:f>AND($C$12=Menues!$X$4,$C$7=Menues!$S$3,$C$8=Menues!$T$3,$C$9=Menues!$U$4)</xm:f>
            <x14:dxf>
              <font>
                <b/>
                <i val="0"/>
              </font>
              <fill>
                <patternFill>
                  <bgColor rgb="FFC9FFC9"/>
                </patternFill>
              </fill>
            </x14:dxf>
          </x14:cfRule>
          <xm:sqref>G17</xm:sqref>
        </x14:conditionalFormatting>
        <x14:conditionalFormatting xmlns:xm="http://schemas.microsoft.com/office/excel/2006/main">
          <x14:cfRule type="expression" priority="122" id="{BE5D5D77-7D28-4E0D-8FAF-74AC41D2E137}">
            <xm:f>AND($C$12=Menues!$X$4,$C$7=Menues!$S$3,$C$8=Menues!$T$3,$C$9=Menues!$U$3)</xm:f>
            <x14:dxf>
              <font>
                <b/>
                <i val="0"/>
              </font>
              <fill>
                <patternFill>
                  <bgColor rgb="FFC9FFC9"/>
                </patternFill>
              </fill>
            </x14:dxf>
          </x14:cfRule>
          <xm:sqref>G18</xm:sqref>
        </x14:conditionalFormatting>
        <x14:conditionalFormatting xmlns:xm="http://schemas.microsoft.com/office/excel/2006/main">
          <x14:cfRule type="expression" priority="123" id="{1BF0B1A7-DE10-48EC-A2E9-DFB0600F39B2}">
            <xm:f>AND($C$12=Menues!$X$4,$C$7=Menues!$S$3,$C$8=Menues!$T$4,$C$9=Menues!$U$4)</xm:f>
            <x14:dxf>
              <font>
                <b/>
                <i val="0"/>
              </font>
              <fill>
                <patternFill>
                  <bgColor rgb="FFC9FFC9"/>
                </patternFill>
              </fill>
            </x14:dxf>
          </x14:cfRule>
          <xm:sqref>G19</xm:sqref>
        </x14:conditionalFormatting>
        <x14:conditionalFormatting xmlns:xm="http://schemas.microsoft.com/office/excel/2006/main">
          <x14:cfRule type="expression" priority="124" id="{C23F3DFF-2118-4A4A-A97A-57B9EC21586E}">
            <xm:f>AND($C$12=Menues!$X$4,$C$7=Menues!$S$3,$C$8=Menues!$T$4,$C$9=Menues!$U$3)</xm:f>
            <x14:dxf>
              <font>
                <b/>
                <i val="0"/>
              </font>
              <fill>
                <patternFill>
                  <bgColor rgb="FFC9FFC9"/>
                </patternFill>
              </fill>
            </x14:dxf>
          </x14:cfRule>
          <xm:sqref>G20</xm:sqref>
        </x14:conditionalFormatting>
        <x14:conditionalFormatting xmlns:xm="http://schemas.microsoft.com/office/excel/2006/main">
          <x14:cfRule type="expression" priority="125" id="{FAC2FF27-07B5-40CA-947E-9B4B8CD1978E}">
            <xm:f>AND($C$12=Menues!$X$4,$C$7=Menues!$S$3,$C$8=Menues!$T$5,$C$9=Menues!$U$3)</xm:f>
            <x14:dxf>
              <font>
                <b/>
                <i val="0"/>
              </font>
              <fill>
                <patternFill>
                  <bgColor rgb="FFC9FFC9"/>
                </patternFill>
              </fill>
            </x14:dxf>
          </x14:cfRule>
          <xm:sqref>G21</xm:sqref>
        </x14:conditionalFormatting>
        <x14:conditionalFormatting xmlns:xm="http://schemas.microsoft.com/office/excel/2006/main">
          <x14:cfRule type="expression" priority="126" id="{E43B738A-3655-43BD-99A1-A91957040166}">
            <xm:f>AND($C$12=Menues!$X$4,$C$7=Menues!$S$4,$C$8=Menues!$T$3,$C$9&lt;&gt;Menues!$U$2)</xm:f>
            <x14:dxf>
              <font>
                <b/>
                <i val="0"/>
              </font>
              <fill>
                <patternFill>
                  <bgColor rgb="FFC9FFC9"/>
                </patternFill>
              </fill>
            </x14:dxf>
          </x14:cfRule>
          <xm:sqref>G22</xm:sqref>
        </x14:conditionalFormatting>
        <x14:conditionalFormatting xmlns:xm="http://schemas.microsoft.com/office/excel/2006/main">
          <x14:cfRule type="expression" priority="127" id="{65D34046-43B0-464E-A0EC-90F09D7BD076}">
            <xm:f>AND($C$12=Menues!$X$4,$C$7=Menues!$S$4,$C$8&lt;&gt;Menues!$T$3,$C$8&lt;&gt;Menues!$T$2,$C$9&lt;&gt;Menues!$U$2)</xm:f>
            <x14:dxf>
              <font>
                <b/>
                <i val="0"/>
              </font>
              <fill>
                <patternFill>
                  <bgColor rgb="FFC9FFC9"/>
                </patternFill>
              </fill>
            </x14:dxf>
          </x14:cfRule>
          <xm:sqref>G23</xm:sqref>
        </x14:conditionalFormatting>
        <x14:conditionalFormatting xmlns:xm="http://schemas.microsoft.com/office/excel/2006/main">
          <x14:cfRule type="expression" priority="99" id="{67828C4A-458F-47F8-87E1-D50EF12DBBE0}">
            <xm:f>AND($C$12=Menues!$X$4,$C$10=Menues!$W$4,$C$11=Menues!$V$3,$C$7=Menues!$S$3,$C$8=Menues!$T$3,$C$9=Menues!$U$4)</xm:f>
            <x14:dxf>
              <font>
                <b/>
                <i val="0"/>
              </font>
              <fill>
                <patternFill>
                  <bgColor rgb="FFC9FFC9"/>
                </patternFill>
              </fill>
            </x14:dxf>
          </x14:cfRule>
          <xm:sqref>M17:O17</xm:sqref>
        </x14:conditionalFormatting>
        <x14:conditionalFormatting xmlns:xm="http://schemas.microsoft.com/office/excel/2006/main">
          <x14:cfRule type="expression" priority="100" id="{36443DAF-DCE8-4D0B-AC72-FA4F14A8A434}">
            <xm:f>AND($C$12=Menues!$X$4,$C$10=Menues!$W$4,$C$11=Menues!$V$3,$C$7=Menues!$S$3,$C$8=Menues!$T$3,$C$9=Menues!$U$3)</xm:f>
            <x14:dxf>
              <font>
                <b/>
                <i val="0"/>
              </font>
              <fill>
                <patternFill>
                  <bgColor rgb="FFC9FFC9"/>
                </patternFill>
              </fill>
            </x14:dxf>
          </x14:cfRule>
          <xm:sqref>M18:O18</xm:sqref>
        </x14:conditionalFormatting>
        <x14:conditionalFormatting xmlns:xm="http://schemas.microsoft.com/office/excel/2006/main">
          <x14:cfRule type="expression" priority="101" id="{287F81D3-CCE7-40A5-8F87-B074C462BC64}">
            <xm:f>AND($C$12=Menues!$X$4,$C$10=Menues!$W$4,$C$11=Menues!$V$3,$C$7=Menues!$S$3,$C$8=Menues!$T$4,$C$9=Menues!$U$4)</xm:f>
            <x14:dxf>
              <font>
                <b/>
                <i val="0"/>
              </font>
              <fill>
                <patternFill>
                  <bgColor rgb="FFC9FFC9"/>
                </patternFill>
              </fill>
            </x14:dxf>
          </x14:cfRule>
          <xm:sqref>M19:O19</xm:sqref>
        </x14:conditionalFormatting>
        <x14:conditionalFormatting xmlns:xm="http://schemas.microsoft.com/office/excel/2006/main">
          <x14:cfRule type="expression" priority="102" id="{7A6568A5-7C1C-4105-B376-BDFD6F1001F4}">
            <xm:f>AND($C$12=Menues!$X$4,$C$10=Menues!$W$4,$C$11=Menues!$V$3,$C$7=Menues!$S$3,$C$8=Menues!$T$4,$C$9=Menues!$U$3)</xm:f>
            <x14:dxf>
              <font>
                <b/>
                <i val="0"/>
              </font>
              <fill>
                <patternFill>
                  <bgColor rgb="FFC9FFC9"/>
                </patternFill>
              </fill>
            </x14:dxf>
          </x14:cfRule>
          <xm:sqref>M20:O20</xm:sqref>
        </x14:conditionalFormatting>
        <x14:conditionalFormatting xmlns:xm="http://schemas.microsoft.com/office/excel/2006/main">
          <x14:cfRule type="expression" priority="103" id="{673F8363-BA8A-4A68-93CB-6D57DA41A26D}">
            <xm:f>AND($C$12=Menues!$X$4,$C$10=Menues!$W$4,$C$11=Menues!$V$3,$C$7=Menues!$S$3,$C$8=Menues!$T$5,$C$9=Menues!$U$3)</xm:f>
            <x14:dxf>
              <font>
                <b/>
                <i val="0"/>
              </font>
              <fill>
                <patternFill>
                  <bgColor rgb="FFC9FFC9"/>
                </patternFill>
              </fill>
            </x14:dxf>
          </x14:cfRule>
          <xm:sqref>M21:O21</xm:sqref>
        </x14:conditionalFormatting>
        <x14:conditionalFormatting xmlns:xm="http://schemas.microsoft.com/office/excel/2006/main">
          <x14:cfRule type="expression" priority="104" id="{489AF2A2-37F8-478D-9196-481153E63CE0}">
            <xm:f>AND($C$12=Menues!$X$4,$C$10=Menues!$W$4,$C$11=Menues!$V$3,$C$7=Menues!$S$4,$C$8=Menues!$T$3,$C$9&lt;&gt;Menues!$U$2)</xm:f>
            <x14:dxf>
              <font>
                <b/>
                <i val="0"/>
              </font>
              <fill>
                <patternFill>
                  <bgColor rgb="FFC9FFC9"/>
                </patternFill>
              </fill>
            </x14:dxf>
          </x14:cfRule>
          <xm:sqref>M22:O22</xm:sqref>
        </x14:conditionalFormatting>
        <x14:conditionalFormatting xmlns:xm="http://schemas.microsoft.com/office/excel/2006/main">
          <x14:cfRule type="expression" priority="105" id="{5CE5FF85-1C1E-497C-A874-2AE571F19B6B}">
            <xm:f>AND($C$12=Menues!$X$4,$C$10=Menues!$W$4,$C$11=Menues!$V$3,$C$7=Menues!$S$4,$C$8&lt;&gt;Menues!$T$3,$C$8&lt;&gt;Menues!$T$2,$C$9&lt;&gt;Menues!$U$2)</xm:f>
            <x14:dxf>
              <font>
                <b/>
                <i val="0"/>
              </font>
              <fill>
                <patternFill>
                  <bgColor rgb="FFC9FFC9"/>
                </patternFill>
              </fill>
            </x14:dxf>
          </x14:cfRule>
          <xm:sqref>M23:O23</xm:sqref>
        </x14:conditionalFormatting>
        <x14:conditionalFormatting xmlns:xm="http://schemas.microsoft.com/office/excel/2006/main">
          <x14:cfRule type="expression" priority="92" id="{B945A453-353D-48AE-8042-489A1F232577}">
            <xm:f>AND($C$12=Menues!$X$4,$C$10=Menues!$W$3,$C$11=Menues!$V$4,$C$7=Menues!$S$3,$C$8=Menues!$T$3,$C$9=Menues!$U$4)</xm:f>
            <x14:dxf>
              <font>
                <b/>
                <i val="0"/>
              </font>
              <fill>
                <patternFill>
                  <bgColor rgb="FFC9FFC9"/>
                </patternFill>
              </fill>
            </x14:dxf>
          </x14:cfRule>
          <xm:sqref>P17:R17</xm:sqref>
        </x14:conditionalFormatting>
        <x14:conditionalFormatting xmlns:xm="http://schemas.microsoft.com/office/excel/2006/main">
          <x14:cfRule type="expression" priority="93" id="{C4522F46-D805-4639-9DFC-8EB765B85710}">
            <xm:f>AND($C$12=Menues!$X$4,$C$10=Menues!$W$3,$C$11=Menues!$V$4,$C$7=Menues!$S$3,$C$8=Menues!$T$3,$C$9=Menues!$U$3)</xm:f>
            <x14:dxf>
              <font>
                <b/>
                <i val="0"/>
              </font>
              <fill>
                <patternFill>
                  <bgColor rgb="FFC9FFC9"/>
                </patternFill>
              </fill>
            </x14:dxf>
          </x14:cfRule>
          <xm:sqref>P18:R18</xm:sqref>
        </x14:conditionalFormatting>
        <x14:conditionalFormatting xmlns:xm="http://schemas.microsoft.com/office/excel/2006/main">
          <x14:cfRule type="expression" priority="94" id="{2C5CE1C1-78D3-4520-A989-2CAD35C837C7}">
            <xm:f>AND($C$12=Menues!$X$4,$C$10=Menues!$W$3,$C$11=Menues!$V$4,$C$7=Menues!$S$3,$C$8=Menues!$T$4,$C$9=Menues!$U$4)</xm:f>
            <x14:dxf>
              <font>
                <b/>
                <i val="0"/>
              </font>
              <fill>
                <patternFill>
                  <bgColor rgb="FFC9FFC9"/>
                </patternFill>
              </fill>
            </x14:dxf>
          </x14:cfRule>
          <xm:sqref>P19:R19</xm:sqref>
        </x14:conditionalFormatting>
        <x14:conditionalFormatting xmlns:xm="http://schemas.microsoft.com/office/excel/2006/main">
          <x14:cfRule type="expression" priority="95" id="{60DC7E1E-08E8-4C99-BC44-94A1DC5E048B}">
            <xm:f>AND($C$12=Menues!$X$4,$C$10=Menues!$W$3,$C$11=Menues!$V$4,$C$7=Menues!$S$3,$C$8=Menues!$T$4,$C$9=Menues!$U$3)</xm:f>
            <x14:dxf>
              <font>
                <b/>
                <i val="0"/>
              </font>
              <fill>
                <patternFill>
                  <bgColor rgb="FFC9FFC9"/>
                </patternFill>
              </fill>
            </x14:dxf>
          </x14:cfRule>
          <xm:sqref>P20:R20</xm:sqref>
        </x14:conditionalFormatting>
        <x14:conditionalFormatting xmlns:xm="http://schemas.microsoft.com/office/excel/2006/main">
          <x14:cfRule type="expression" priority="96" id="{3FC00D05-C5C2-42CC-99A8-09DCAACEA58A}">
            <xm:f>AND($C$12=Menues!$X$4,$C$10=Menues!$W$3,$C$11=Menues!$V$4,$C$7=Menues!$S$3,$C$8=Menues!$T$5,$C$9=Menues!$U$3)</xm:f>
            <x14:dxf>
              <font>
                <b/>
                <i val="0"/>
              </font>
              <fill>
                <patternFill>
                  <bgColor rgb="FFC9FFC9"/>
                </patternFill>
              </fill>
            </x14:dxf>
          </x14:cfRule>
          <xm:sqref>P21:R21</xm:sqref>
        </x14:conditionalFormatting>
        <x14:conditionalFormatting xmlns:xm="http://schemas.microsoft.com/office/excel/2006/main">
          <x14:cfRule type="expression" priority="97" id="{87D9477C-6180-4D31-8BB2-15EDFB744073}">
            <xm:f>AND($C$12=Menues!$X$4,$C$10=Menues!$W$3,$C$11=Menues!$V$4,$C$7=Menues!$S$4,$C$8=Menues!$T$3,$C$9&lt;&gt;Menues!$U$2)</xm:f>
            <x14:dxf>
              <font>
                <b/>
                <i val="0"/>
              </font>
              <fill>
                <patternFill>
                  <bgColor rgb="FFC9FFC9"/>
                </patternFill>
              </fill>
            </x14:dxf>
          </x14:cfRule>
          <xm:sqref>P22:R22</xm:sqref>
        </x14:conditionalFormatting>
        <x14:conditionalFormatting xmlns:xm="http://schemas.microsoft.com/office/excel/2006/main">
          <x14:cfRule type="expression" priority="98" id="{B744588F-4FA4-4309-9551-21C1E5161A99}">
            <xm:f>AND($C$12=Menues!$X$4,$C$10=Menues!$W$3,$C$11=Menues!$V$4,$C$7=Menues!$S$4,$C$8&lt;&gt;Menues!$T$3,$C$8&lt;&gt;Menues!$T$2,$C$8&lt;&gt;Menues!$T$3,$C$9&lt;&gt;Menues!$U$2)</xm:f>
            <x14:dxf>
              <font>
                <b/>
                <i val="0"/>
              </font>
              <fill>
                <patternFill>
                  <bgColor rgb="FFC9FFC9"/>
                </patternFill>
              </fill>
            </x14:dxf>
          </x14:cfRule>
          <xm:sqref>P23:R23</xm:sqref>
        </x14:conditionalFormatting>
        <x14:conditionalFormatting xmlns:xm="http://schemas.microsoft.com/office/excel/2006/main">
          <x14:cfRule type="expression" priority="85" id="{F87FC775-50AD-42CD-9EAF-12229F492EC5}">
            <xm:f>AND($C$12=Menues!$X$4,$C$10=Menues!$W$4,$C$11=Menues!$V$4,$C$7=Menues!$S$3,$C$8=Menues!$T$3,$C$9=Menues!$U$4)</xm:f>
            <x14:dxf>
              <font>
                <b/>
                <i val="0"/>
              </font>
              <fill>
                <patternFill>
                  <bgColor rgb="FFC9FFC9"/>
                </patternFill>
              </fill>
            </x14:dxf>
          </x14:cfRule>
          <xm:sqref>S17:U17</xm:sqref>
        </x14:conditionalFormatting>
        <x14:conditionalFormatting xmlns:xm="http://schemas.microsoft.com/office/excel/2006/main">
          <x14:cfRule type="expression" priority="86" id="{FA45B119-15DE-49DA-B074-08AF4C986CC7}">
            <xm:f>AND($C$12=Menues!$X$4,$C$10=Menues!$W$4,$C$11=Menues!$V$4,$C$7=Menues!$S$3,$C$8=Menues!$T$3,$C$9=Menues!$U$3)</xm:f>
            <x14:dxf>
              <font>
                <b/>
                <i val="0"/>
              </font>
              <fill>
                <patternFill>
                  <bgColor rgb="FFC9FFC9"/>
                </patternFill>
              </fill>
            </x14:dxf>
          </x14:cfRule>
          <xm:sqref>S18:U18</xm:sqref>
        </x14:conditionalFormatting>
        <x14:conditionalFormatting xmlns:xm="http://schemas.microsoft.com/office/excel/2006/main">
          <x14:cfRule type="expression" priority="87" id="{4150FF4D-6AA5-4A4A-AFA4-AAE3D120541A}">
            <xm:f>AND($C$12=Menues!$X$4,$C$10=Menues!$W$4,$C$11=Menues!$V$4,$C$7=Menues!$S$3,$C$8=Menues!$T$4,$C$9=Menues!$U$4)</xm:f>
            <x14:dxf>
              <font>
                <b/>
                <i val="0"/>
              </font>
              <fill>
                <patternFill>
                  <bgColor rgb="FFC9FFC9"/>
                </patternFill>
              </fill>
            </x14:dxf>
          </x14:cfRule>
          <xm:sqref>S19:U19</xm:sqref>
        </x14:conditionalFormatting>
        <x14:conditionalFormatting xmlns:xm="http://schemas.microsoft.com/office/excel/2006/main">
          <x14:cfRule type="expression" priority="88" id="{18D234B5-0B0A-4F3C-8398-E13A0D8CC66B}">
            <xm:f>AND($C$12=Menues!$X$4,$C$10=Menues!$W$4,$C$11=Menues!$V$4,$C$7=Menues!$S$3,$C$8=Menues!$T$4,$C$9=Menues!$U$3)</xm:f>
            <x14:dxf>
              <font>
                <b/>
                <i val="0"/>
              </font>
              <fill>
                <patternFill>
                  <bgColor rgb="FFC9FFC9"/>
                </patternFill>
              </fill>
            </x14:dxf>
          </x14:cfRule>
          <xm:sqref>S20:U20</xm:sqref>
        </x14:conditionalFormatting>
        <x14:conditionalFormatting xmlns:xm="http://schemas.microsoft.com/office/excel/2006/main">
          <x14:cfRule type="expression" priority="89" id="{7A874F57-7B5E-4DEA-8903-DE172CF50449}">
            <xm:f>AND($C$12=Menues!$X$4,$C$10=Menues!$W$4,$C$11=Menues!$V$4,$C$7=Menues!$S$3,$C$8=Menues!$T$5,$C$9=Menues!$U$3)</xm:f>
            <x14:dxf>
              <font>
                <b/>
                <i val="0"/>
              </font>
              <fill>
                <patternFill>
                  <bgColor rgb="FFC9FFC9"/>
                </patternFill>
              </fill>
            </x14:dxf>
          </x14:cfRule>
          <xm:sqref>S21:U21</xm:sqref>
        </x14:conditionalFormatting>
        <x14:conditionalFormatting xmlns:xm="http://schemas.microsoft.com/office/excel/2006/main">
          <x14:cfRule type="expression" priority="90" id="{32B0E48D-A497-416C-8024-C3324249E2A9}">
            <xm:f>AND($C$12=Menues!$X$4,$C$10=Menues!$W$4,$C$11=Menues!$V$4,$C$7=Menues!$S$4,$C$8=Menues!$T$3,$C$9&lt;&gt;Menues!$U$2)</xm:f>
            <x14:dxf>
              <font>
                <b/>
                <i val="0"/>
              </font>
              <fill>
                <patternFill>
                  <bgColor rgb="FFC9FFC9"/>
                </patternFill>
              </fill>
            </x14:dxf>
          </x14:cfRule>
          <xm:sqref>S22:U22</xm:sqref>
        </x14:conditionalFormatting>
        <x14:conditionalFormatting xmlns:xm="http://schemas.microsoft.com/office/excel/2006/main">
          <x14:cfRule type="expression" priority="91" id="{C7CF6ACB-B3B8-4A1A-9339-E0C8800F6571}">
            <xm:f>AND($C$12=Menues!$X$4,$C$10=Menues!$W$4,$C$11=Menues!$V$4,$C$7=Menues!$S$4,$C$8&lt;&gt;Menues!$T$3,$C$8&lt;&gt;Menues!$T$2,$C$9&lt;&gt;Menues!$U$2)</xm:f>
            <x14:dxf>
              <font>
                <b/>
                <i val="0"/>
              </font>
              <fill>
                <patternFill>
                  <bgColor rgb="FFC9FFC9"/>
                </patternFill>
              </fill>
            </x14:dxf>
          </x14:cfRule>
          <xm:sqref>S23:U23</xm:sqref>
        </x14:conditionalFormatting>
        <x14:conditionalFormatting xmlns:xm="http://schemas.microsoft.com/office/excel/2006/main">
          <x14:cfRule type="expression" priority="56" id="{1012E9AC-BBA4-47C6-8DA8-FC7235699C94}">
            <xm:f>AND($C$12=Menues!$X$4,$C$10=Menues!$W$3,$C$11=Menues!$V$3,$C$7=Menues!$S$3,$C$8=Menues!$T$3,$C$9=Menues!$U$3)</xm:f>
            <x14:dxf>
              <font>
                <b/>
                <i val="0"/>
              </font>
              <fill>
                <patternFill>
                  <bgColor rgb="FFC9FFC9"/>
                </patternFill>
              </fill>
            </x14:dxf>
          </x14:cfRule>
          <xm:sqref>J18:L18</xm:sqref>
        </x14:conditionalFormatting>
        <x14:conditionalFormatting xmlns:xm="http://schemas.microsoft.com/office/excel/2006/main">
          <x14:cfRule type="expression" priority="57" id="{9E0509C5-4E5E-4945-B940-045873015D10}">
            <xm:f>AND($C$12=Menues!$X$4,$C$10=Menues!$W$3,$C$11=Menues!$V$3,$C$7=Menues!$S$3,$C$8=Menues!$T$4,$C$9=Menues!$U$4)</xm:f>
            <x14:dxf>
              <font>
                <b/>
                <i val="0"/>
              </font>
              <fill>
                <patternFill>
                  <bgColor rgb="FFC9FFC9"/>
                </patternFill>
              </fill>
            </x14:dxf>
          </x14:cfRule>
          <xm:sqref>J19:L19</xm:sqref>
        </x14:conditionalFormatting>
        <x14:conditionalFormatting xmlns:xm="http://schemas.microsoft.com/office/excel/2006/main">
          <x14:cfRule type="expression" priority="58" id="{9209835C-B07C-4AD7-A072-4F2E8FC2A5C0}">
            <xm:f>AND($C$12=Menues!$X$4,$C$10=Menues!$W$3,$C$11=Menues!$V$3,$C$7=Menues!$S$3,$C$8=Menues!$T$4,$C$9=Menues!$U$3)</xm:f>
            <x14:dxf>
              <font>
                <b/>
                <i val="0"/>
              </font>
              <fill>
                <patternFill>
                  <bgColor rgb="FFC9FFC9"/>
                </patternFill>
              </fill>
            </x14:dxf>
          </x14:cfRule>
          <xm:sqref>J20:L20</xm:sqref>
        </x14:conditionalFormatting>
        <x14:conditionalFormatting xmlns:xm="http://schemas.microsoft.com/office/excel/2006/main">
          <x14:cfRule type="expression" priority="59" id="{70E53710-DAE6-4DF4-BAAA-A4238AB06B7D}">
            <xm:f>AND($C$12=Menues!$X$4,$C$10=Menues!$W$3,$C$11=Menues!$V$3,$C$7=Menues!$S$3,$C$8=Menues!$T$5,$C$9=Menues!$U$3)</xm:f>
            <x14:dxf>
              <font>
                <b/>
                <i val="0"/>
              </font>
              <fill>
                <patternFill>
                  <bgColor rgb="FFC9FFC9"/>
                </patternFill>
              </fill>
            </x14:dxf>
          </x14:cfRule>
          <xm:sqref>J21:L21</xm:sqref>
        </x14:conditionalFormatting>
        <x14:conditionalFormatting xmlns:xm="http://schemas.microsoft.com/office/excel/2006/main">
          <x14:cfRule type="expression" priority="60" id="{1E160866-07E3-450B-8125-43F4726EDB37}">
            <xm:f>AND($C$12=Menues!$X$4,$C$10=Menues!$W$3,$C$11=Menues!$V$3,$C$7=Menues!$S$4,$C$8=Menues!$T$3,$C$9&lt;&gt;Menues!$U$2)</xm:f>
            <x14:dxf>
              <font>
                <b/>
                <i val="0"/>
              </font>
              <fill>
                <patternFill>
                  <bgColor rgb="FFC9FFC9"/>
                </patternFill>
              </fill>
            </x14:dxf>
          </x14:cfRule>
          <xm:sqref>J22:L22</xm:sqref>
        </x14:conditionalFormatting>
        <x14:conditionalFormatting xmlns:xm="http://schemas.microsoft.com/office/excel/2006/main">
          <x14:cfRule type="expression" priority="61" id="{FD79555D-CD48-4D76-9141-7392D486081F}">
            <xm:f>AND($C$12=Menues!$X$4,$C$10=Menues!$W$3,$C$11=Menues!$V$3,$C$7=Menues!$S$4,$C$8&lt;&gt;Menues!$T$2,$C$8&lt;&gt;Menues!$T$3,$C$9&lt;&gt;Menues!$U$2)</xm:f>
            <x14:dxf>
              <font>
                <b/>
                <i val="0"/>
              </font>
              <fill>
                <patternFill>
                  <bgColor rgb="FFC9FFC9"/>
                </patternFill>
              </fill>
            </x14:dxf>
          </x14:cfRule>
          <xm:sqref>J23:L23</xm:sqref>
        </x14:conditionalFormatting>
        <x14:conditionalFormatting xmlns:xm="http://schemas.microsoft.com/office/excel/2006/main">
          <x14:cfRule type="expression" priority="47" id="{3C022697-35EC-40D6-98AA-5E42191326E9}">
            <xm:f>AND($C$12=Menues!$X$3,$C$10=Menues!$W$4,$C$11=Menues!$V$4,$C$7=Menues!$S$3,$C$8=Menues!$T$3,$C$9=Menues!$U$4)</xm:f>
            <x14:dxf>
              <font>
                <b/>
                <i val="0"/>
              </font>
              <fill>
                <patternFill>
                  <bgColor rgb="FFC9FFC9"/>
                </patternFill>
              </fill>
            </x14:dxf>
          </x14:cfRule>
          <xm:sqref>S6:U6</xm:sqref>
        </x14:conditionalFormatting>
        <x14:conditionalFormatting xmlns:xm="http://schemas.microsoft.com/office/excel/2006/main">
          <x14:cfRule type="expression" priority="48" id="{E02ED8CD-596D-4C61-85F6-7BD99D2A6733}">
            <xm:f>AND($C$12=Menues!$X$3,$C$10=Menues!$W$4,$C$11=Menues!$V$4,$C$7=Menues!$S$3,$C$8=Menues!$T$3,$C$9=Menues!$U$3)</xm:f>
            <x14:dxf>
              <font>
                <b/>
                <i val="0"/>
              </font>
              <fill>
                <patternFill>
                  <bgColor rgb="FFC9FFC9"/>
                </patternFill>
              </fill>
            </x14:dxf>
          </x14:cfRule>
          <xm:sqref>S7:U7</xm:sqref>
        </x14:conditionalFormatting>
        <x14:conditionalFormatting xmlns:xm="http://schemas.microsoft.com/office/excel/2006/main">
          <x14:cfRule type="expression" priority="49" id="{8B5B73A8-5E84-4D17-B6BA-A6C2DEDAD601}">
            <xm:f>AND($C$12=Menues!$X$3,$C$10=Menues!$W$4,$C$11=Menues!$V$4,$C$7=Menues!$S$3,$C$8=Menues!$T$4,$C$9=Menues!$U$4)</xm:f>
            <x14:dxf>
              <font>
                <b/>
                <i val="0"/>
              </font>
              <fill>
                <patternFill>
                  <bgColor rgb="FFC9FFC9"/>
                </patternFill>
              </fill>
            </x14:dxf>
          </x14:cfRule>
          <xm:sqref>S8:U8</xm:sqref>
        </x14:conditionalFormatting>
        <x14:conditionalFormatting xmlns:xm="http://schemas.microsoft.com/office/excel/2006/main">
          <x14:cfRule type="expression" priority="50" id="{76BD712B-58B0-4C8C-94AF-B3F01135F748}">
            <xm:f>AND($C$12=Menues!$X$3,$C$10=Menues!$W$4,$C$11=Menues!$V$4,$C$7=Menues!$S$3,$C$8=Menues!$T$4,$C$9=Menues!$U$3)</xm:f>
            <x14:dxf>
              <font>
                <b/>
                <i val="0"/>
              </font>
              <fill>
                <patternFill>
                  <bgColor rgb="FFC9FFC9"/>
                </patternFill>
              </fill>
            </x14:dxf>
          </x14:cfRule>
          <xm:sqref>S9:U9</xm:sqref>
        </x14:conditionalFormatting>
        <x14:conditionalFormatting xmlns:xm="http://schemas.microsoft.com/office/excel/2006/main">
          <x14:cfRule type="expression" priority="51" id="{3259B3CD-54B5-4775-95DB-29D1353BEC5E}">
            <xm:f>AND($C$12=Menues!$X$3,$C$10=Menues!$W$4,$C$11=Menues!$V$4,$C$7=Menues!$S$3,$C$8=Menues!$T$5,$C$9=Menues!$U$3)</xm:f>
            <x14:dxf>
              <font>
                <b/>
                <i val="0"/>
              </font>
              <fill>
                <patternFill>
                  <bgColor rgb="FFC9FFC9"/>
                </patternFill>
              </fill>
            </x14:dxf>
          </x14:cfRule>
          <xm:sqref>S10:U10</xm:sqref>
        </x14:conditionalFormatting>
        <x14:conditionalFormatting xmlns:xm="http://schemas.microsoft.com/office/excel/2006/main">
          <x14:cfRule type="expression" priority="52" id="{C47FA18C-B06C-4831-A3B8-AB971763CDDD}">
            <xm:f>AND($C$12=Menues!$X$3,$C$10=Menues!$W$4,$C$11=Menues!$V$4,$C$7=Menues!$S$4,$C$8=Menues!$T$3,$C$9&lt;&gt;Menues!$U$2)</xm:f>
            <x14:dxf>
              <font>
                <b/>
                <i val="0"/>
              </font>
              <fill>
                <patternFill>
                  <bgColor rgb="FFC9FFC9"/>
                </patternFill>
              </fill>
            </x14:dxf>
          </x14:cfRule>
          <xm:sqref>S11:U11</xm:sqref>
        </x14:conditionalFormatting>
        <x14:conditionalFormatting xmlns:xm="http://schemas.microsoft.com/office/excel/2006/main">
          <x14:cfRule type="expression" priority="53" id="{5C3C5957-AE51-4C8E-AF55-1D61604ECFE9}">
            <xm:f>AND($C$12=Menues!$X$3,$C$10=Menues!$W$4,$C$11=Menues!$V$4,$C$7=Menues!$S$4,$C$8&lt;&gt;Menues!$T$3,$C$8&lt;&gt;Menues!$T$2,$C$9&lt;&gt;Menues!$U$2)</xm:f>
            <x14:dxf>
              <font>
                <b/>
                <i val="0"/>
              </font>
              <fill>
                <patternFill>
                  <bgColor rgb="FFC9FFC9"/>
                </patternFill>
              </fill>
            </x14:dxf>
          </x14:cfRule>
          <xm:sqref>S12:U12</xm:sqref>
        </x14:conditionalFormatting>
        <x14:conditionalFormatting xmlns:xm="http://schemas.microsoft.com/office/excel/2006/main">
          <x14:cfRule type="expression" priority="40" id="{2774A757-E569-4430-A61F-E7D27BB63B5E}">
            <xm:f>AND($C$12=Menues!$X$3,$C$10=Menues!$W$3,$C$11=Menues!$V$4,$C$7=Menues!$S$3,$C$8=Menues!$T$3,$C$9=Menues!$U$4)</xm:f>
            <x14:dxf>
              <font>
                <b/>
                <i val="0"/>
              </font>
              <fill>
                <patternFill>
                  <bgColor rgb="FFC9FFC9"/>
                </patternFill>
              </fill>
            </x14:dxf>
          </x14:cfRule>
          <xm:sqref>P6:R6</xm:sqref>
        </x14:conditionalFormatting>
        <x14:conditionalFormatting xmlns:xm="http://schemas.microsoft.com/office/excel/2006/main">
          <x14:cfRule type="expression" priority="41" id="{E7B3B622-F96D-4074-9EA4-7D6DE5CA369A}">
            <xm:f>AND($C$12=Menues!$X$3,$C$10=Menues!$W$3,$C$11=Menues!$V$4,$C$7=Menues!$S$3,$C$8=Menues!$T$3,$C$9=Menues!$U$3)</xm:f>
            <x14:dxf>
              <font>
                <b/>
                <i val="0"/>
              </font>
              <fill>
                <patternFill>
                  <bgColor rgb="FFC9FFC9"/>
                </patternFill>
              </fill>
            </x14:dxf>
          </x14:cfRule>
          <xm:sqref>P7:R7</xm:sqref>
        </x14:conditionalFormatting>
        <x14:conditionalFormatting xmlns:xm="http://schemas.microsoft.com/office/excel/2006/main">
          <x14:cfRule type="expression" priority="42" id="{E37E163E-3FA0-4F4E-BFF7-491FE25F99FA}">
            <xm:f>AND($C$12=Menues!$X$3,$C$10=Menues!$W$3,$C$11=Menues!$V$4,$C$7=Menues!$S$3,$C$8=Menues!$T$4,$C$9=Menues!$U$4)</xm:f>
            <x14:dxf>
              <font>
                <b/>
                <i val="0"/>
              </font>
              <fill>
                <patternFill>
                  <bgColor rgb="FFC9FFC9"/>
                </patternFill>
              </fill>
            </x14:dxf>
          </x14:cfRule>
          <xm:sqref>P8:R8</xm:sqref>
        </x14:conditionalFormatting>
        <x14:conditionalFormatting xmlns:xm="http://schemas.microsoft.com/office/excel/2006/main">
          <x14:cfRule type="expression" priority="43" id="{85844857-E10D-4997-ACB3-FC6F17173C7F}">
            <xm:f>AND($C$12=Menues!$X$3,$C$10=Menues!$W$3,$C$11=Menues!$V$4,$C$7=Menues!$S$3,$C$8=Menues!$T$4,$C$9=Menues!$U$3)</xm:f>
            <x14:dxf>
              <font>
                <b/>
                <i val="0"/>
              </font>
              <fill>
                <patternFill>
                  <bgColor rgb="FFC9FFC9"/>
                </patternFill>
              </fill>
            </x14:dxf>
          </x14:cfRule>
          <xm:sqref>P9:R9</xm:sqref>
        </x14:conditionalFormatting>
        <x14:conditionalFormatting xmlns:xm="http://schemas.microsoft.com/office/excel/2006/main">
          <x14:cfRule type="expression" priority="44" id="{3CC63588-8219-4071-9174-AE2B357F3CBE}">
            <xm:f>AND($C$12=Menues!$X$3,$C$10=Menues!$W$3,$C$11=Menues!$V$4,$C$7=Menues!$S$3,$C$8=Menues!$T$5,$C$9=Menues!$U$3)</xm:f>
            <x14:dxf>
              <font>
                <b/>
                <i val="0"/>
              </font>
              <fill>
                <patternFill>
                  <bgColor rgb="FFC9FFC9"/>
                </patternFill>
              </fill>
            </x14:dxf>
          </x14:cfRule>
          <xm:sqref>P10:R10</xm:sqref>
        </x14:conditionalFormatting>
        <x14:conditionalFormatting xmlns:xm="http://schemas.microsoft.com/office/excel/2006/main">
          <x14:cfRule type="expression" priority="45" id="{1A450C3A-F066-4F50-9536-7D629C15B65A}">
            <xm:f>AND($C$12=Menues!$X$3,$C$10=Menues!$W$3,$C$11=Menues!$V$4,$C$7=Menues!$S$4,$C$8=Menues!$T$3,$C$9&lt;&gt;Menues!$U$2)</xm:f>
            <x14:dxf>
              <font>
                <b/>
                <i val="0"/>
              </font>
              <fill>
                <patternFill>
                  <bgColor rgb="FFC9FFC9"/>
                </patternFill>
              </fill>
            </x14:dxf>
          </x14:cfRule>
          <xm:sqref>P11:R11</xm:sqref>
        </x14:conditionalFormatting>
        <x14:conditionalFormatting xmlns:xm="http://schemas.microsoft.com/office/excel/2006/main">
          <x14:cfRule type="expression" priority="46" id="{DAEBD7C4-7543-49FE-B40E-73A25E534E5F}">
            <xm:f>AND($C$12=Menues!$X$3,$C$10=Menues!$W$3,$C$11=Menues!$V$4,$C$7=Menues!$S$4,$C$8&lt;&gt;Menues!$T$3,$C$8&lt;&gt;Menues!$T$2,$C$8&lt;&gt;Menues!$T$3,$C$9&lt;&gt;Menues!$U$2)</xm:f>
            <x14:dxf>
              <font>
                <b/>
                <i val="0"/>
              </font>
              <fill>
                <patternFill>
                  <bgColor rgb="FFC9FFC9"/>
                </patternFill>
              </fill>
            </x14:dxf>
          </x14:cfRule>
          <xm:sqref>P12:R12</xm:sqref>
        </x14:conditionalFormatting>
        <x14:conditionalFormatting xmlns:xm="http://schemas.microsoft.com/office/excel/2006/main">
          <x14:cfRule type="expression" priority="33" id="{728974EB-701F-45CA-91EB-CB8DCFC23094}">
            <xm:f>AND($C$12=Menues!$X$3,$C$10=Menues!$W$4,$C$11=Menues!$V$3,$C$7=Menues!$S$3,$C$8=Menues!$T$3,$C$9=Menues!$U$4)</xm:f>
            <x14:dxf>
              <font>
                <b/>
                <i val="0"/>
              </font>
              <fill>
                <patternFill>
                  <bgColor rgb="FFC9FFC9"/>
                </patternFill>
              </fill>
            </x14:dxf>
          </x14:cfRule>
          <xm:sqref>M6:O6</xm:sqref>
        </x14:conditionalFormatting>
        <x14:conditionalFormatting xmlns:xm="http://schemas.microsoft.com/office/excel/2006/main">
          <x14:cfRule type="expression" priority="34" id="{AE47B321-172B-45FC-B209-50EA59966382}">
            <xm:f>AND($C$12=Menues!$X$3,$C$10=Menues!$W$4,$C$11=Menues!$V$3,$C$7=Menues!$S$3,$C$8=Menues!$T$3,$C$9=Menues!$U$3)</xm:f>
            <x14:dxf>
              <font>
                <b/>
                <i val="0"/>
              </font>
              <fill>
                <patternFill>
                  <bgColor rgb="FFC9FFC9"/>
                </patternFill>
              </fill>
            </x14:dxf>
          </x14:cfRule>
          <xm:sqref>M7:O7</xm:sqref>
        </x14:conditionalFormatting>
        <x14:conditionalFormatting xmlns:xm="http://schemas.microsoft.com/office/excel/2006/main">
          <x14:cfRule type="expression" priority="35" id="{626CAC00-486F-4E7B-B007-F3E344AF5FE2}">
            <xm:f>AND($C$12=Menues!$X$3,$C$10=Menues!$W$4,$C$11=Menues!$V$3,$C$7=Menues!$S$3,$C$8=Menues!$T$4,$C$9=Menues!$U$4)</xm:f>
            <x14:dxf>
              <font>
                <b/>
                <i val="0"/>
              </font>
              <fill>
                <patternFill>
                  <bgColor rgb="FFC9FFC9"/>
                </patternFill>
              </fill>
            </x14:dxf>
          </x14:cfRule>
          <xm:sqref>M8:O8</xm:sqref>
        </x14:conditionalFormatting>
        <x14:conditionalFormatting xmlns:xm="http://schemas.microsoft.com/office/excel/2006/main">
          <x14:cfRule type="expression" priority="36" id="{F41AEC2D-892F-43F6-BB29-4A29E8CDCC7C}">
            <xm:f>AND($C$12=Menues!$X$3,$C$10=Menues!$W$4,$C$11=Menues!$V$3,$C$7=Menues!$S$3,$C$8=Menues!$T$4,$C$9=Menues!$U$3)</xm:f>
            <x14:dxf>
              <font>
                <b/>
                <i val="0"/>
              </font>
              <fill>
                <patternFill>
                  <bgColor rgb="FFC9FFC9"/>
                </patternFill>
              </fill>
            </x14:dxf>
          </x14:cfRule>
          <xm:sqref>M9:O9</xm:sqref>
        </x14:conditionalFormatting>
        <x14:conditionalFormatting xmlns:xm="http://schemas.microsoft.com/office/excel/2006/main">
          <x14:cfRule type="expression" priority="37" id="{C821577E-4510-4094-B63C-C292D388A7D3}">
            <xm:f>AND($C$12=Menues!$X$3,$C$10=Menues!$W$4,$C$11=Menues!$V$3,$C$7=Menues!$S$3,$C$8=Menues!$T$5,$C$9=Menues!$U$3)</xm:f>
            <x14:dxf>
              <font>
                <b/>
                <i val="0"/>
              </font>
              <fill>
                <patternFill>
                  <bgColor rgb="FFC9FFC9"/>
                </patternFill>
              </fill>
            </x14:dxf>
          </x14:cfRule>
          <xm:sqref>M10:O10</xm:sqref>
        </x14:conditionalFormatting>
        <x14:conditionalFormatting xmlns:xm="http://schemas.microsoft.com/office/excel/2006/main">
          <x14:cfRule type="expression" priority="38" id="{B51147D5-1613-42E0-9FAB-26A7736CE01F}">
            <xm:f>AND($C$12=Menues!$X$3,$C$10=Menues!$W$4,$C$11=Menues!$V$3,$C$7=Menues!$S$4,$C$8=Menues!$T$3,$C$9&lt;&gt;Menues!$U$2)</xm:f>
            <x14:dxf>
              <font>
                <b/>
                <i val="0"/>
              </font>
              <fill>
                <patternFill>
                  <bgColor rgb="FFC9FFC9"/>
                </patternFill>
              </fill>
            </x14:dxf>
          </x14:cfRule>
          <xm:sqref>M11:O11</xm:sqref>
        </x14:conditionalFormatting>
        <x14:conditionalFormatting xmlns:xm="http://schemas.microsoft.com/office/excel/2006/main">
          <x14:cfRule type="expression" priority="39" id="{3CCBB6B4-C003-401E-A19E-6E36078CD309}">
            <xm:f>AND($C$12=Menues!$X$3,$C$10=Menues!$W$4,$C$11=Menues!$V$3,$C$7=Menues!$S$4,$C$8&lt;&gt;Menues!$T$3,$C$8&lt;&gt;Menues!$T$2,$C$9&lt;&gt;Menues!$U$2)</xm:f>
            <x14:dxf>
              <font>
                <b/>
                <i val="0"/>
              </font>
              <fill>
                <patternFill>
                  <bgColor rgb="FFC9FFC9"/>
                </patternFill>
              </fill>
            </x14:dxf>
          </x14:cfRule>
          <xm:sqref>M12:O12</xm:sqref>
        </x14:conditionalFormatting>
        <x14:conditionalFormatting xmlns:xm="http://schemas.microsoft.com/office/excel/2006/main">
          <x14:cfRule type="expression" priority="27" id="{ABD6E384-DAB0-4C90-ADE1-9E8AEBB2D025}">
            <xm:f>AND($C$12=Menues!$X$3,$C$10=Menues!$W$3,$C$11=Menues!$V$3,$C$7=Menues!$S$3,$C$8=Menues!$T$3,$C$9=Menues!$U$3)</xm:f>
            <x14:dxf>
              <font>
                <b/>
                <i val="0"/>
              </font>
              <fill>
                <patternFill>
                  <bgColor rgb="FFC9FFC9"/>
                </patternFill>
              </fill>
            </x14:dxf>
          </x14:cfRule>
          <xm:sqref>J7:L7</xm:sqref>
        </x14:conditionalFormatting>
        <x14:conditionalFormatting xmlns:xm="http://schemas.microsoft.com/office/excel/2006/main">
          <x14:cfRule type="expression" priority="28" id="{69F2E84F-2EBC-4361-B894-15EB4EED155E}">
            <xm:f>AND($C$12=Menues!$X$3,$C$10=Menues!$W$3,$C$11=Menues!$V$3,$C$7=Menues!$S$3,$C$8=Menues!$T$4,$C$9=Menues!$U$4)</xm:f>
            <x14:dxf>
              <font>
                <b/>
                <i val="0"/>
              </font>
              <fill>
                <patternFill>
                  <bgColor rgb="FFC9FFC9"/>
                </patternFill>
              </fill>
            </x14:dxf>
          </x14:cfRule>
          <xm:sqref>J8:L8</xm:sqref>
        </x14:conditionalFormatting>
        <x14:conditionalFormatting xmlns:xm="http://schemas.microsoft.com/office/excel/2006/main">
          <x14:cfRule type="expression" priority="29" id="{BC86D04F-E507-47DC-8FA3-0A2C688BD0E0}">
            <xm:f>AND($C$12=Menues!$X$3,$C$10=Menues!$W$3,$C$11=Menues!$V$3,$C$7=Menues!$S$3,$C$8=Menues!$T$4,$C$9=Menues!$U$3)</xm:f>
            <x14:dxf>
              <font>
                <b/>
                <i val="0"/>
              </font>
              <fill>
                <patternFill>
                  <bgColor rgb="FFC9FFC9"/>
                </patternFill>
              </fill>
            </x14:dxf>
          </x14:cfRule>
          <xm:sqref>J9:L9</xm:sqref>
        </x14:conditionalFormatting>
        <x14:conditionalFormatting xmlns:xm="http://schemas.microsoft.com/office/excel/2006/main">
          <x14:cfRule type="expression" priority="30" id="{67FDDDE5-0E9A-431B-8CE0-E30F05D0CAC1}">
            <xm:f>AND($C$12=Menues!$X$3,$C$10=Menues!$W$3,$C$11=Menues!$V$3,$C$7=Menues!$S$3,$C$8=Menues!$T$5,$C$9=Menues!$U$3)</xm:f>
            <x14:dxf>
              <font>
                <b/>
                <i val="0"/>
              </font>
              <fill>
                <patternFill>
                  <bgColor rgb="FFC9FFC9"/>
                </patternFill>
              </fill>
            </x14:dxf>
          </x14:cfRule>
          <xm:sqref>J10:L10</xm:sqref>
        </x14:conditionalFormatting>
        <x14:conditionalFormatting xmlns:xm="http://schemas.microsoft.com/office/excel/2006/main">
          <x14:cfRule type="expression" priority="31" id="{D7C81526-FA73-44DD-B656-8A78D4095D96}">
            <xm:f>AND($C$12=Menues!$X$3,$C$10=Menues!$W$3,$C$11=Menues!$V$3,$C$7=Menues!$S$4,$C$8=Menues!$T$3,$C$9&lt;&gt;Menues!$U$2)</xm:f>
            <x14:dxf>
              <font>
                <b/>
                <i val="0"/>
              </font>
              <fill>
                <patternFill>
                  <bgColor rgb="FFC9FFC9"/>
                </patternFill>
              </fill>
            </x14:dxf>
          </x14:cfRule>
          <xm:sqref>J11:L11</xm:sqref>
        </x14:conditionalFormatting>
        <x14:conditionalFormatting xmlns:xm="http://schemas.microsoft.com/office/excel/2006/main">
          <x14:cfRule type="expression" priority="32" id="{51D15EB6-E893-4A3E-A7C7-73F5976BA088}">
            <xm:f>AND($C$12=Menues!$X$3,$C$10=Menues!$W$3,$C$11=Menues!$V$3,$C$7=Menues!$S$4,$C$8&lt;&gt;Menues!$T$2,$C$8&lt;&gt;Menues!$T$3,$C$9&lt;&gt;Menues!$U$2)</xm:f>
            <x14:dxf>
              <font>
                <b/>
                <i val="0"/>
              </font>
              <fill>
                <patternFill>
                  <bgColor rgb="FFC9FFC9"/>
                </patternFill>
              </fill>
            </x14:dxf>
          </x14:cfRule>
          <xm:sqref>J12:L12</xm:sqref>
        </x14:conditionalFormatting>
        <x14:conditionalFormatting xmlns:xm="http://schemas.microsoft.com/office/excel/2006/main">
          <x14:cfRule type="expression" priority="25" id="{4BBAD0FA-0468-497B-9EC8-3569A593DDE9}">
            <xm:f>AND($C$12=Menues!$X$3,$C$10=Menues!$W$3,$C$11=Menues!$V$3,$C$7=Menues!$S$3,$C$8=Menues!$T$3,$C$9=Menues!$U$4)</xm:f>
            <x14:dxf>
              <font>
                <b/>
                <i val="0"/>
              </font>
              <fill>
                <patternFill>
                  <bgColor rgb="FFC9FFC9"/>
                </patternFill>
              </fill>
            </x14:dxf>
          </x14:cfRule>
          <xm:sqref>J6:L6</xm:sqref>
        </x14:conditionalFormatting>
        <x14:conditionalFormatting xmlns:xm="http://schemas.microsoft.com/office/excel/2006/main">
          <x14:cfRule type="expression" priority="54" id="{B58BD6C7-E557-4E91-B3AE-80F81B145A4A}">
            <xm:f>AND($C$12=Menues!$X$4,$C$10=Menues!$W$3,$C$11=Menues!$V$3,$C$7=Menues!$S$3,$C$8=Menues!$T$3,$C$9=Menues!$U$4)</xm:f>
            <x14:dxf>
              <font>
                <b/>
                <i val="0"/>
              </font>
              <fill>
                <patternFill>
                  <bgColor rgb="FFC9FFC9"/>
                </patternFill>
              </fill>
            </x14:dxf>
          </x14:cfRule>
          <xm:sqref>J17:L17</xm:sqref>
        </x14:conditionalFormatting>
        <x14:conditionalFormatting xmlns:xm="http://schemas.microsoft.com/office/excel/2006/main">
          <x14:cfRule type="expression" priority="16" id="{8A09BEFC-20B7-4067-A0E9-BC25B82218BD}">
            <xm:f>AND($C$12=Menues!$X$3,$C$7=Menues!$S$3,$C$8=Menues!$T$3,$C$9=Menues!$U$4)</xm:f>
            <x14:dxf>
              <font>
                <b/>
                <i val="0"/>
              </font>
              <fill>
                <patternFill>
                  <bgColor rgb="FFC9FFC9"/>
                </patternFill>
              </fill>
            </x14:dxf>
          </x14:cfRule>
          <xm:sqref>W6</xm:sqref>
        </x14:conditionalFormatting>
        <x14:conditionalFormatting xmlns:xm="http://schemas.microsoft.com/office/excel/2006/main">
          <x14:cfRule type="expression" priority="17" id="{AF70D823-1390-46DF-85A0-EB325853C02D}">
            <xm:f>AND($C$12=Menues!$X$3,$C$7=Menues!$S$3,$C$8=Menues!$T$3,$C$9=Menues!$U$3)</xm:f>
            <x14:dxf>
              <font>
                <b/>
                <i val="0"/>
              </font>
              <fill>
                <patternFill>
                  <bgColor rgb="FFC9FFC9"/>
                </patternFill>
              </fill>
            </x14:dxf>
          </x14:cfRule>
          <xm:sqref>W7</xm:sqref>
        </x14:conditionalFormatting>
        <x14:conditionalFormatting xmlns:xm="http://schemas.microsoft.com/office/excel/2006/main">
          <x14:cfRule type="expression" priority="18" id="{3A558500-5E96-45A9-9701-A22896370815}">
            <xm:f>AND($C$12=Menues!$X$3,$C$7=Menues!$S$3,$C$8=Menues!$T$4,$C$9=Menues!$U$4)</xm:f>
            <x14:dxf>
              <font>
                <b/>
                <i val="0"/>
              </font>
              <fill>
                <patternFill>
                  <bgColor rgb="FFC9FFC9"/>
                </patternFill>
              </fill>
            </x14:dxf>
          </x14:cfRule>
          <xm:sqref>W8</xm:sqref>
        </x14:conditionalFormatting>
        <x14:conditionalFormatting xmlns:xm="http://schemas.microsoft.com/office/excel/2006/main">
          <x14:cfRule type="expression" priority="19" id="{F2A7E1C8-1E5A-4DE1-8F9D-E6CC3B8F089C}">
            <xm:f>AND($C$12=Menues!$X$3,$C$7=Menues!$S$3,$C$8=Menues!$T$4,$C$9=Menues!$U$3)</xm:f>
            <x14:dxf>
              <font>
                <b/>
                <i val="0"/>
              </font>
              <fill>
                <patternFill>
                  <bgColor rgb="FFC9FFC9"/>
                </patternFill>
              </fill>
            </x14:dxf>
          </x14:cfRule>
          <xm:sqref>W9</xm:sqref>
        </x14:conditionalFormatting>
        <x14:conditionalFormatting xmlns:xm="http://schemas.microsoft.com/office/excel/2006/main">
          <x14:cfRule type="expression" priority="20" id="{9D977D44-0284-429C-807A-43B2A4286F39}">
            <xm:f>AND($C$12=Menues!$X$3,$C$7=Menues!$S$3,$C$8=Menues!$T$5,$C$9=Menues!$U$3)</xm:f>
            <x14:dxf>
              <font>
                <b/>
                <i val="0"/>
              </font>
              <fill>
                <patternFill>
                  <bgColor rgb="FFC9FFC9"/>
                </patternFill>
              </fill>
            </x14:dxf>
          </x14:cfRule>
          <xm:sqref>W10</xm:sqref>
        </x14:conditionalFormatting>
        <x14:conditionalFormatting xmlns:xm="http://schemas.microsoft.com/office/excel/2006/main">
          <x14:cfRule type="expression" priority="21" id="{DCDE2F24-4F3F-4BCE-A297-F6D23C1EB3D7}">
            <xm:f>AND($C$12=Menues!$X$3,$C$7=Menues!$S$4,$C$8=Menues!$T$3,$C$9&lt;&gt;Menues!$U$2)</xm:f>
            <x14:dxf>
              <font>
                <b/>
                <i val="0"/>
              </font>
              <fill>
                <patternFill>
                  <bgColor rgb="FFC9FFC9"/>
                </patternFill>
              </fill>
            </x14:dxf>
          </x14:cfRule>
          <xm:sqref>W11</xm:sqref>
        </x14:conditionalFormatting>
        <x14:conditionalFormatting xmlns:xm="http://schemas.microsoft.com/office/excel/2006/main">
          <x14:cfRule type="expression" priority="22" id="{8565D3BF-0B85-4CB4-A141-FEC48B2ABDAC}">
            <xm:f>AND($C$12=Menues!$X$3,$C$7=Menues!$S$4,$C$8&lt;&gt;Menues!$T$3,$C$8&lt;&gt;Menues!$T$2,$C$9&lt;&gt;Menues!$U$2)</xm:f>
            <x14:dxf>
              <font>
                <b/>
                <i val="0"/>
              </font>
              <fill>
                <patternFill>
                  <bgColor rgb="FFC9FFC9"/>
                </patternFill>
              </fill>
            </x14:dxf>
          </x14:cfRule>
          <xm:sqref>W12</xm:sqref>
        </x14:conditionalFormatting>
        <x14:conditionalFormatting xmlns:xm="http://schemas.microsoft.com/office/excel/2006/main">
          <x14:cfRule type="expression" priority="9" id="{73D20383-23E0-4E1C-A922-65AA320B9AC3}">
            <xm:f>AND($C$12=Menues!$X$3,$C$7=Menues!$S$3,$C$8=Menues!$T$3,$C$9=Menues!$U$4)</xm:f>
            <x14:dxf>
              <font>
                <b/>
                <i val="0"/>
              </font>
              <fill>
                <patternFill>
                  <bgColor rgb="FFC9FFC9"/>
                </patternFill>
              </fill>
            </x14:dxf>
          </x14:cfRule>
          <xm:sqref>V17</xm:sqref>
        </x14:conditionalFormatting>
        <x14:conditionalFormatting xmlns:xm="http://schemas.microsoft.com/office/excel/2006/main">
          <x14:cfRule type="expression" priority="10" id="{799BEFE7-62F0-4B76-8F4B-3F155BD1C086}">
            <xm:f>AND($C$12=Menues!$X$3,$C$7=Menues!$S$3,$C$8=Menues!$T$3,$C$9=Menues!$U$3)</xm:f>
            <x14:dxf>
              <font>
                <b/>
                <i val="0"/>
              </font>
              <fill>
                <patternFill>
                  <bgColor rgb="FFC9FFC9"/>
                </patternFill>
              </fill>
            </x14:dxf>
          </x14:cfRule>
          <xm:sqref>V18</xm:sqref>
        </x14:conditionalFormatting>
        <x14:conditionalFormatting xmlns:xm="http://schemas.microsoft.com/office/excel/2006/main">
          <x14:cfRule type="expression" priority="11" id="{AE2B869D-D98F-48A0-B553-0CE4E6EE54CB}">
            <xm:f>AND($C$12=Menues!$X$3,$C$7=Menues!$S$3,$C$8=Menues!$T$4,$C$9=Menues!$U$4)</xm:f>
            <x14:dxf>
              <font>
                <b/>
                <i val="0"/>
              </font>
              <fill>
                <patternFill>
                  <bgColor rgb="FFC9FFC9"/>
                </patternFill>
              </fill>
            </x14:dxf>
          </x14:cfRule>
          <xm:sqref>V19</xm:sqref>
        </x14:conditionalFormatting>
        <x14:conditionalFormatting xmlns:xm="http://schemas.microsoft.com/office/excel/2006/main">
          <x14:cfRule type="expression" priority="12" id="{0021C62C-0286-40F4-89E0-CBC652EFD8B6}">
            <xm:f>AND($C$12=Menues!$X$3,$C$7=Menues!$S$3,$C$8=Menues!$T$4,$C$9=Menues!$U$3)</xm:f>
            <x14:dxf>
              <font>
                <b/>
                <i val="0"/>
              </font>
              <fill>
                <patternFill>
                  <bgColor rgb="FFC9FFC9"/>
                </patternFill>
              </fill>
            </x14:dxf>
          </x14:cfRule>
          <xm:sqref>V20</xm:sqref>
        </x14:conditionalFormatting>
        <x14:conditionalFormatting xmlns:xm="http://schemas.microsoft.com/office/excel/2006/main">
          <x14:cfRule type="expression" priority="13" id="{EEFD3883-0E85-47AA-8AB6-2607906E02CF}">
            <xm:f>AND($C$12=Menues!$X$3,$C$7=Menues!$S$3,$C$8=Menues!$T$5,$C$9=Menues!$U$3)</xm:f>
            <x14:dxf>
              <font>
                <b/>
                <i val="0"/>
              </font>
              <fill>
                <patternFill>
                  <bgColor rgb="FFC9FFC9"/>
                </patternFill>
              </fill>
            </x14:dxf>
          </x14:cfRule>
          <xm:sqref>V21</xm:sqref>
        </x14:conditionalFormatting>
        <x14:conditionalFormatting xmlns:xm="http://schemas.microsoft.com/office/excel/2006/main">
          <x14:cfRule type="expression" priority="14" id="{7840B574-08A9-427F-B640-BCCF4809F294}">
            <xm:f>AND($C$12=Menues!$X$3,$C$7=Menues!$S$4,$C$8=Menues!$T$3,$C$9&lt;&gt;Menues!$U$2)</xm:f>
            <x14:dxf>
              <font>
                <b/>
                <i val="0"/>
              </font>
              <fill>
                <patternFill>
                  <bgColor rgb="FFC9FFC9"/>
                </patternFill>
              </fill>
            </x14:dxf>
          </x14:cfRule>
          <xm:sqref>V22</xm:sqref>
        </x14:conditionalFormatting>
        <x14:conditionalFormatting xmlns:xm="http://schemas.microsoft.com/office/excel/2006/main">
          <x14:cfRule type="expression" priority="15" id="{BAD1AC1C-8B19-47A6-82C0-AA6C231CC8B3}">
            <xm:f>AND($C$12=Menues!$X$3,$C$7=Menues!$S$4,$C$8&lt;&gt;Menues!$T$3,$C$8&lt;&gt;Menues!$T$2,$C$9&lt;&gt;Menues!$U$2)</xm:f>
            <x14:dxf>
              <font>
                <b/>
                <i val="0"/>
              </font>
              <fill>
                <patternFill>
                  <bgColor rgb="FFC9FFC9"/>
                </patternFill>
              </fill>
            </x14:dxf>
          </x14:cfRule>
          <xm:sqref>V23</xm:sqref>
        </x14:conditionalFormatting>
        <x14:conditionalFormatting xmlns:xm="http://schemas.microsoft.com/office/excel/2006/main">
          <x14:cfRule type="expression" priority="2" id="{40C337BA-86C8-4E43-A057-F4B2703EA2BF}">
            <xm:f>AND($C$12=Menues!$X$3,$C$7=Menues!$S$3,$C$8=Menues!$T$3,$C$9=Menues!$U$4)</xm:f>
            <x14:dxf>
              <font>
                <b/>
                <i val="0"/>
              </font>
              <fill>
                <patternFill>
                  <bgColor rgb="FFC9FFC9"/>
                </patternFill>
              </fill>
            </x14:dxf>
          </x14:cfRule>
          <xm:sqref>W17</xm:sqref>
        </x14:conditionalFormatting>
        <x14:conditionalFormatting xmlns:xm="http://schemas.microsoft.com/office/excel/2006/main">
          <x14:cfRule type="expression" priority="3" id="{C25DF78E-E5A9-47EE-BB61-B8EA478F78C6}">
            <xm:f>AND($C$12=Menues!$X$3,$C$7=Menues!$S$3,$C$8=Menues!$T$3,$C$9=Menues!$U$3)</xm:f>
            <x14:dxf>
              <font>
                <b/>
                <i val="0"/>
              </font>
              <fill>
                <patternFill>
                  <bgColor rgb="FFC9FFC9"/>
                </patternFill>
              </fill>
            </x14:dxf>
          </x14:cfRule>
          <xm:sqref>W18</xm:sqref>
        </x14:conditionalFormatting>
        <x14:conditionalFormatting xmlns:xm="http://schemas.microsoft.com/office/excel/2006/main">
          <x14:cfRule type="expression" priority="4" id="{68EAA91C-B335-4AEB-812F-2E6AC9136188}">
            <xm:f>AND($C$12=Menues!$X$3,$C$7=Menues!$S$3,$C$8=Menues!$T$4,$C$9=Menues!$U$4)</xm:f>
            <x14:dxf>
              <font>
                <b/>
                <i val="0"/>
              </font>
              <fill>
                <patternFill>
                  <bgColor rgb="FFC9FFC9"/>
                </patternFill>
              </fill>
            </x14:dxf>
          </x14:cfRule>
          <xm:sqref>W19</xm:sqref>
        </x14:conditionalFormatting>
        <x14:conditionalFormatting xmlns:xm="http://schemas.microsoft.com/office/excel/2006/main">
          <x14:cfRule type="expression" priority="5" id="{04724DEF-F475-4355-9A76-F3C560109ACE}">
            <xm:f>AND($C$12=Menues!$X$3,$C$7=Menues!$S$3,$C$8=Menues!$T$4,$C$9=Menues!$U$3)</xm:f>
            <x14:dxf>
              <font>
                <b/>
                <i val="0"/>
              </font>
              <fill>
                <patternFill>
                  <bgColor rgb="FFC9FFC9"/>
                </patternFill>
              </fill>
            </x14:dxf>
          </x14:cfRule>
          <xm:sqref>W20</xm:sqref>
        </x14:conditionalFormatting>
        <x14:conditionalFormatting xmlns:xm="http://schemas.microsoft.com/office/excel/2006/main">
          <x14:cfRule type="expression" priority="6" id="{2AD85568-5FC0-4A9E-B1DA-1B3FDC0441A0}">
            <xm:f>AND($C$12=Menues!$X$3,$C$7=Menues!$S$3,$C$8=Menues!$T$5,$C$9=Menues!$U$3)</xm:f>
            <x14:dxf>
              <font>
                <b/>
                <i val="0"/>
              </font>
              <fill>
                <patternFill>
                  <bgColor rgb="FFC9FFC9"/>
                </patternFill>
              </fill>
            </x14:dxf>
          </x14:cfRule>
          <xm:sqref>W21</xm:sqref>
        </x14:conditionalFormatting>
        <x14:conditionalFormatting xmlns:xm="http://schemas.microsoft.com/office/excel/2006/main">
          <x14:cfRule type="expression" priority="7" id="{A030E0F7-0CE2-4057-877C-45D090EE2660}">
            <xm:f>AND($C$12=Menues!$X$3,$C$7=Menues!$S$4,$C$8=Menues!$T$3,$C$9&lt;&gt;Menues!$U$2)</xm:f>
            <x14:dxf>
              <font>
                <b/>
                <i val="0"/>
              </font>
              <fill>
                <patternFill>
                  <bgColor rgb="FFC9FFC9"/>
                </patternFill>
              </fill>
            </x14:dxf>
          </x14:cfRule>
          <xm:sqref>W22</xm:sqref>
        </x14:conditionalFormatting>
        <x14:conditionalFormatting xmlns:xm="http://schemas.microsoft.com/office/excel/2006/main">
          <x14:cfRule type="expression" priority="8" id="{EDB59BC0-5F8C-435F-82BD-FE1969538A0D}">
            <xm:f>AND($C$12=Menues!$X$3,$C$7=Menues!$S$4,$C$8&lt;&gt;Menues!$T$3,$C$8&lt;&gt;Menues!$T$2,$C$9&lt;&gt;Menues!$U$2)</xm:f>
            <x14:dxf>
              <font>
                <b/>
                <i val="0"/>
              </font>
              <fill>
                <patternFill>
                  <bgColor rgb="FFC9FFC9"/>
                </patternFill>
              </fill>
            </x14:dxf>
          </x14:cfRule>
          <xm:sqref>W23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Menues!$W$2:$W$4</xm:f>
          </x14:formula1>
          <xm:sqref>C10</xm:sqref>
        </x14:dataValidation>
        <x14:dataValidation type="list" allowBlank="1" showInputMessage="1" showErrorMessage="1">
          <x14:formula1>
            <xm:f>Menues!$S$2:$S$4</xm:f>
          </x14:formula1>
          <xm:sqref>C7</xm:sqref>
        </x14:dataValidation>
        <x14:dataValidation type="list" allowBlank="1" showInputMessage="1" showErrorMessage="1">
          <x14:formula1>
            <xm:f>Menues!$T$2:$T$6</xm:f>
          </x14:formula1>
          <xm:sqref>C8</xm:sqref>
        </x14:dataValidation>
        <x14:dataValidation type="list" allowBlank="1" showInputMessage="1" showErrorMessage="1">
          <x14:formula1>
            <xm:f>Menues!$U$2:$U$5</xm:f>
          </x14:formula1>
          <xm:sqref>C9</xm:sqref>
        </x14:dataValidation>
        <x14:dataValidation type="list" allowBlank="1" showInputMessage="1" showErrorMessage="1">
          <x14:formula1>
            <xm:f>Menues!$X$2:$X$4</xm:f>
          </x14:formula1>
          <xm:sqref>C12:D12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Menues</vt:lpstr>
      <vt:lpstr>Leveraging</vt:lpstr>
      <vt:lpstr>DataFields</vt:lpstr>
      <vt:lpstr>DevTypes</vt:lpstr>
      <vt:lpstr>Leveraging!Print_Area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Tatreau</dc:creator>
  <cp:lastModifiedBy>Kevin Tatreau</cp:lastModifiedBy>
  <cp:lastPrinted>2016-08-25T17:24:27Z</cp:lastPrinted>
  <dcterms:created xsi:type="dcterms:W3CDTF">2016-08-09T20:25:52Z</dcterms:created>
  <dcterms:modified xsi:type="dcterms:W3CDTF">2016-09-19T20:37:14Z</dcterms:modified>
</cp:coreProperties>
</file>